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otheelrpc.sharepoint.com/Shared Documents/ACTIVITIES FOR THE YEAR/2025/MODOT/Final Docs/"/>
    </mc:Choice>
  </mc:AlternateContent>
  <xr:revisionPtr revIDLastSave="258" documentId="8_{A3C88365-41A1-4B56-A505-4594009B5242}" xr6:coauthVersionLast="47" xr6:coauthVersionMax="47" xr10:uidLastSave="{53B725EF-23F2-4005-ACA3-9234F4D448F9}"/>
  <bookViews>
    <workbookView xWindow="-120" yWindow="-120" windowWidth="29040" windowHeight="15720" activeTab="3" xr2:uid="{00000000-000D-0000-FFFF-FFFF00000000}"/>
  </bookViews>
  <sheets>
    <sheet name="Salaries" sheetId="12" r:id="rId1"/>
    <sheet name="MoDOT" sheetId="8" r:id="rId2"/>
    <sheet name="TASKS" sheetId="1" r:id="rId3"/>
    <sheet name="Hours-Task" sheetId="9" r:id="rId4"/>
    <sheet name="Task-Staff" sheetId="10" r:id="rId5"/>
  </sheets>
  <externalReferences>
    <externalReference r:id="rId6"/>
  </externalReferences>
  <definedNames>
    <definedName name="_xlnm.Print_Area" localSheetId="3">'Hours-Task'!$A$1:$K$37</definedName>
    <definedName name="_xlnm.Print_Area" localSheetId="1">MoDOT!$A$1:$O$27</definedName>
    <definedName name="_xlnm.Print_Area" localSheetId="2">TASKS!$A$1:$L$27</definedName>
    <definedName name="_xlnm.Print_Area" localSheetId="4">'Task-Staff'!$A$1:$G$37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9" l="1"/>
  <c r="N25" i="8"/>
  <c r="C10" i="8"/>
  <c r="C9" i="8"/>
  <c r="C8" i="8"/>
  <c r="K9" i="1"/>
  <c r="G25" i="10"/>
  <c r="G9" i="10"/>
  <c r="C10" i="1"/>
  <c r="C9" i="1"/>
  <c r="C8" i="1"/>
  <c r="F8" i="1" s="1"/>
  <c r="G8" i="1" s="1"/>
  <c r="D8" i="1"/>
  <c r="D8" i="9"/>
  <c r="E8" i="1"/>
  <c r="D25" i="9"/>
  <c r="J25" i="9"/>
  <c r="K25" i="9" s="1"/>
  <c r="J9" i="12" l="1"/>
  <c r="H9" i="12"/>
  <c r="E9" i="12"/>
  <c r="B9" i="12"/>
  <c r="H7" i="12"/>
  <c r="E7" i="12"/>
  <c r="C7" i="12"/>
  <c r="B7" i="12"/>
  <c r="H5" i="12"/>
  <c r="F5" i="12"/>
  <c r="E5" i="12"/>
  <c r="C5" i="12"/>
  <c r="B5" i="12"/>
  <c r="D5" i="12" s="1"/>
  <c r="D22" i="9"/>
  <c r="G5" i="12" l="1"/>
  <c r="D9" i="12"/>
  <c r="F9" i="12"/>
  <c r="G9" i="12"/>
  <c r="I9" i="12"/>
  <c r="K9" i="12" s="1"/>
  <c r="D7" i="12"/>
  <c r="F7" i="12"/>
  <c r="G7" i="12"/>
  <c r="I5" i="12"/>
  <c r="K5" i="12" s="1"/>
  <c r="D23" i="9"/>
  <c r="I7" i="12" l="1"/>
  <c r="K7" i="12" s="1"/>
  <c r="J23" i="9"/>
  <c r="K23" i="9" s="1"/>
  <c r="D25" i="1"/>
  <c r="H20" i="1"/>
  <c r="I20" i="1" s="1"/>
  <c r="H21" i="1"/>
  <c r="J21" i="8" s="1"/>
  <c r="K21" i="8" s="1"/>
  <c r="I21" i="1"/>
  <c r="H22" i="1"/>
  <c r="E22" i="10" s="1"/>
  <c r="H23" i="1"/>
  <c r="J23" i="8" s="1"/>
  <c r="K23" i="8" s="1"/>
  <c r="L23" i="8" s="1"/>
  <c r="H24" i="1"/>
  <c r="E24" i="10" s="1"/>
  <c r="H25" i="1"/>
  <c r="I25" i="1" s="1"/>
  <c r="H19" i="1"/>
  <c r="J19" i="8" s="1"/>
  <c r="F20" i="1"/>
  <c r="G20" i="8" s="1"/>
  <c r="F21" i="1"/>
  <c r="G21" i="8" s="1"/>
  <c r="F22" i="1"/>
  <c r="G22" i="1" s="1"/>
  <c r="F24" i="1"/>
  <c r="G24" i="8" s="1"/>
  <c r="F25" i="1"/>
  <c r="G25" i="1" s="1"/>
  <c r="F19" i="1"/>
  <c r="G19" i="8" s="1"/>
  <c r="D20" i="1"/>
  <c r="D20" i="8" s="1"/>
  <c r="E20" i="8" s="1"/>
  <c r="D21" i="1"/>
  <c r="E21" i="1" s="1"/>
  <c r="D22" i="1"/>
  <c r="D22" i="8" s="1"/>
  <c r="D24" i="1"/>
  <c r="D24" i="8" s="1"/>
  <c r="C24" i="10"/>
  <c r="D19" i="1"/>
  <c r="C19" i="10" s="1"/>
  <c r="E19" i="1"/>
  <c r="O16" i="8"/>
  <c r="O17" i="8"/>
  <c r="O15" i="8"/>
  <c r="M16" i="8"/>
  <c r="N16" i="8" s="1"/>
  <c r="M17" i="8"/>
  <c r="N17" i="8"/>
  <c r="M15" i="8"/>
  <c r="N15" i="8" s="1"/>
  <c r="D24" i="10"/>
  <c r="F16" i="10"/>
  <c r="F17" i="10"/>
  <c r="F15" i="10"/>
  <c r="G15" i="10" s="1"/>
  <c r="L15" i="1"/>
  <c r="L16" i="1"/>
  <c r="L17" i="1"/>
  <c r="J15" i="1"/>
  <c r="K15" i="1"/>
  <c r="J16" i="1"/>
  <c r="K16" i="1" s="1"/>
  <c r="J17" i="1"/>
  <c r="K17" i="1"/>
  <c r="H12" i="9"/>
  <c r="J12" i="8" s="1"/>
  <c r="J20" i="9"/>
  <c r="K20" i="9" s="1"/>
  <c r="J21" i="9"/>
  <c r="K21" i="9" s="1"/>
  <c r="J22" i="9"/>
  <c r="K22" i="9" s="1"/>
  <c r="J24" i="9"/>
  <c r="K24" i="9" s="1"/>
  <c r="J19" i="9"/>
  <c r="K19" i="9" s="1"/>
  <c r="J16" i="9"/>
  <c r="K16" i="9" s="1"/>
  <c r="J17" i="9"/>
  <c r="K17" i="9" s="1"/>
  <c r="J15" i="9"/>
  <c r="K15" i="9" s="1"/>
  <c r="F23" i="1"/>
  <c r="G23" i="1" s="1"/>
  <c r="J11" i="12"/>
  <c r="H11" i="12"/>
  <c r="E11" i="12"/>
  <c r="A1" i="12"/>
  <c r="D12" i="9"/>
  <c r="D12" i="8" s="1"/>
  <c r="G17" i="10"/>
  <c r="G16" i="10"/>
  <c r="G24" i="1"/>
  <c r="B11" i="12"/>
  <c r="L9" i="12" s="1"/>
  <c r="F12" i="9"/>
  <c r="G12" i="8" s="1"/>
  <c r="I23" i="1"/>
  <c r="C11" i="12"/>
  <c r="E25" i="10" l="1"/>
  <c r="E19" i="10"/>
  <c r="D20" i="10"/>
  <c r="E24" i="1"/>
  <c r="J25" i="8"/>
  <c r="K25" i="8" s="1"/>
  <c r="L7" i="12"/>
  <c r="L5" i="12"/>
  <c r="D19" i="8"/>
  <c r="E19" i="8" s="1"/>
  <c r="H21" i="8"/>
  <c r="I21" i="8" s="1"/>
  <c r="E21" i="10"/>
  <c r="D21" i="10"/>
  <c r="G21" i="1"/>
  <c r="G23" i="8"/>
  <c r="H23" i="8" s="1"/>
  <c r="I23" i="8" s="1"/>
  <c r="D23" i="10"/>
  <c r="E23" i="10"/>
  <c r="C22" i="10"/>
  <c r="F11" i="12"/>
  <c r="B8" i="10"/>
  <c r="B10" i="10"/>
  <c r="G11" i="12"/>
  <c r="I11" i="12"/>
  <c r="D11" i="12"/>
  <c r="H24" i="8"/>
  <c r="I24" i="8" s="1"/>
  <c r="E24" i="8"/>
  <c r="F24" i="8" s="1"/>
  <c r="H20" i="8"/>
  <c r="I20" i="8" s="1"/>
  <c r="J25" i="1"/>
  <c r="K25" i="1" s="1"/>
  <c r="C25" i="10"/>
  <c r="E25" i="1"/>
  <c r="L25" i="1" s="1"/>
  <c r="D25" i="8"/>
  <c r="D22" i="10"/>
  <c r="E12" i="9"/>
  <c r="H12" i="1"/>
  <c r="D25" i="10"/>
  <c r="G20" i="1"/>
  <c r="F12" i="1"/>
  <c r="J19" i="1"/>
  <c r="K19" i="1" s="1"/>
  <c r="G25" i="8"/>
  <c r="L25" i="8"/>
  <c r="L21" i="8"/>
  <c r="L21" i="1"/>
  <c r="G19" i="1"/>
  <c r="I12" i="9"/>
  <c r="J20" i="1"/>
  <c r="K20" i="1" s="1"/>
  <c r="I24" i="1"/>
  <c r="L24" i="1" s="1"/>
  <c r="F24" i="10"/>
  <c r="G24" i="10" s="1"/>
  <c r="J24" i="1"/>
  <c r="K24" i="1" s="1"/>
  <c r="J24" i="8"/>
  <c r="I22" i="1"/>
  <c r="J22" i="8"/>
  <c r="G22" i="8"/>
  <c r="E22" i="8"/>
  <c r="F22" i="8" s="1"/>
  <c r="J22" i="1"/>
  <c r="K22" i="1" s="1"/>
  <c r="E22" i="1"/>
  <c r="C21" i="10"/>
  <c r="J21" i="1"/>
  <c r="K21" i="1" s="1"/>
  <c r="D21" i="8"/>
  <c r="J20" i="8"/>
  <c r="E20" i="10"/>
  <c r="F20" i="8"/>
  <c r="E20" i="1"/>
  <c r="L20" i="1" s="1"/>
  <c r="C20" i="10"/>
  <c r="K19" i="8"/>
  <c r="I19" i="1"/>
  <c r="L19" i="1" s="1"/>
  <c r="H19" i="8"/>
  <c r="D19" i="10"/>
  <c r="D23" i="1"/>
  <c r="J23" i="1" s="1"/>
  <c r="K23" i="1" s="1"/>
  <c r="G12" i="9"/>
  <c r="D12" i="1"/>
  <c r="C12" i="10" s="1"/>
  <c r="F21" i="10" l="1"/>
  <c r="G21" i="10" s="1"/>
  <c r="L11" i="12"/>
  <c r="F19" i="8"/>
  <c r="M19" i="8"/>
  <c r="N19" i="8" s="1"/>
  <c r="F22" i="10"/>
  <c r="G22" i="10" s="1"/>
  <c r="M22" i="8"/>
  <c r="N22" i="8" s="1"/>
  <c r="H8" i="1"/>
  <c r="J8" i="8"/>
  <c r="K8" i="8" s="1"/>
  <c r="L8" i="8" s="1"/>
  <c r="G8" i="8"/>
  <c r="D8" i="8"/>
  <c r="H8" i="9"/>
  <c r="F8" i="9"/>
  <c r="G10" i="8"/>
  <c r="H10" i="8" s="1"/>
  <c r="I10" i="8" s="1"/>
  <c r="D10" i="8"/>
  <c r="J10" i="8"/>
  <c r="H10" i="9"/>
  <c r="F10" i="9"/>
  <c r="D10" i="9"/>
  <c r="D10" i="1"/>
  <c r="F10" i="1"/>
  <c r="H10" i="1"/>
  <c r="K11" i="12"/>
  <c r="B9" i="10"/>
  <c r="D23" i="8"/>
  <c r="E23" i="8" s="1"/>
  <c r="E25" i="8"/>
  <c r="F25" i="8" s="1"/>
  <c r="M25" i="8"/>
  <c r="H25" i="8"/>
  <c r="I25" i="8" s="1"/>
  <c r="F25" i="10"/>
  <c r="E12" i="10"/>
  <c r="F19" i="10"/>
  <c r="G19" i="10" s="1"/>
  <c r="F20" i="10"/>
  <c r="G20" i="10" s="1"/>
  <c r="D12" i="10"/>
  <c r="M24" i="8"/>
  <c r="N24" i="8" s="1"/>
  <c r="K24" i="8"/>
  <c r="O24" i="8" s="1"/>
  <c r="L22" i="1"/>
  <c r="K22" i="8"/>
  <c r="L22" i="8" s="1"/>
  <c r="H22" i="8"/>
  <c r="E21" i="8"/>
  <c r="O21" i="8" s="1"/>
  <c r="M21" i="8"/>
  <c r="N21" i="8" s="1"/>
  <c r="K20" i="8"/>
  <c r="O20" i="8" s="1"/>
  <c r="M20" i="8"/>
  <c r="N20" i="8" s="1"/>
  <c r="L19" i="8"/>
  <c r="O19" i="8"/>
  <c r="I19" i="8"/>
  <c r="E23" i="1"/>
  <c r="C23" i="10"/>
  <c r="F23" i="10" s="1"/>
  <c r="J8" i="9" l="1"/>
  <c r="M23" i="8"/>
  <c r="O25" i="8"/>
  <c r="C8" i="10"/>
  <c r="J8" i="1"/>
  <c r="K8" i="9"/>
  <c r="E8" i="8"/>
  <c r="F8" i="8" s="1"/>
  <c r="M8" i="8"/>
  <c r="H8" i="8"/>
  <c r="I8" i="8" s="1"/>
  <c r="E8" i="10"/>
  <c r="I8" i="1"/>
  <c r="D8" i="10"/>
  <c r="E10" i="10"/>
  <c r="I10" i="1"/>
  <c r="D10" i="10"/>
  <c r="G10" i="1"/>
  <c r="E10" i="1"/>
  <c r="C10" i="10"/>
  <c r="J10" i="1"/>
  <c r="K10" i="1" s="1"/>
  <c r="K10" i="8"/>
  <c r="L10" i="8" s="1"/>
  <c r="E10" i="8"/>
  <c r="F10" i="8" s="1"/>
  <c r="M10" i="8"/>
  <c r="J10" i="9"/>
  <c r="K10" i="9" s="1"/>
  <c r="G9" i="8"/>
  <c r="J9" i="8"/>
  <c r="D9" i="8"/>
  <c r="D9" i="9"/>
  <c r="D13" i="9" s="1"/>
  <c r="D27" i="9" s="1"/>
  <c r="D29" i="9" s="1"/>
  <c r="H9" i="9"/>
  <c r="F9" i="9"/>
  <c r="F13" i="9" s="1"/>
  <c r="F27" i="9" s="1"/>
  <c r="H9" i="1"/>
  <c r="D9" i="1"/>
  <c r="F9" i="1"/>
  <c r="L24" i="8"/>
  <c r="I22" i="8"/>
  <c r="O22" i="8"/>
  <c r="F21" i="8"/>
  <c r="L20" i="8"/>
  <c r="G23" i="10"/>
  <c r="L23" i="1"/>
  <c r="O23" i="8"/>
  <c r="N23" i="8"/>
  <c r="F23" i="8"/>
  <c r="K8" i="1" l="1"/>
  <c r="F30" i="9"/>
  <c r="F29" i="9"/>
  <c r="D30" i="9"/>
  <c r="L10" i="1"/>
  <c r="L8" i="1"/>
  <c r="L27" i="1" s="1"/>
  <c r="O8" i="8"/>
  <c r="O27" i="8" s="1"/>
  <c r="N8" i="8"/>
  <c r="F8" i="10"/>
  <c r="G8" i="10" s="1"/>
  <c r="F10" i="10"/>
  <c r="G10" i="10" s="1"/>
  <c r="O10" i="8"/>
  <c r="N10" i="8"/>
  <c r="K9" i="8"/>
  <c r="J13" i="8"/>
  <c r="J27" i="8" s="1"/>
  <c r="J9" i="9"/>
  <c r="H13" i="9"/>
  <c r="H27" i="9" s="1"/>
  <c r="E9" i="1"/>
  <c r="C9" i="10"/>
  <c r="C13" i="10" s="1"/>
  <c r="C27" i="10" s="1"/>
  <c r="J9" i="1"/>
  <c r="J27" i="1" s="1"/>
  <c r="D13" i="1"/>
  <c r="D27" i="1" s="1"/>
  <c r="I9" i="1"/>
  <c r="I27" i="1" s="1"/>
  <c r="E9" i="10"/>
  <c r="E27" i="10" s="1"/>
  <c r="H13" i="1"/>
  <c r="H27" i="1" s="1"/>
  <c r="G9" i="1"/>
  <c r="G27" i="1" s="1"/>
  <c r="D9" i="10"/>
  <c r="F13" i="1"/>
  <c r="F27" i="1" s="1"/>
  <c r="E9" i="8"/>
  <c r="E27" i="8" s="1"/>
  <c r="D13" i="8"/>
  <c r="D27" i="8" s="1"/>
  <c r="M9" i="8"/>
  <c r="H9" i="8"/>
  <c r="H27" i="8" s="1"/>
  <c r="G13" i="8"/>
  <c r="G27" i="8" s="1"/>
  <c r="H30" i="9" l="1"/>
  <c r="H29" i="9"/>
  <c r="F9" i="8"/>
  <c r="F27" i="8" s="1"/>
  <c r="F9" i="10"/>
  <c r="D13" i="10"/>
  <c r="D27" i="10" s="1"/>
  <c r="I9" i="8"/>
  <c r="I27" i="8" s="1"/>
  <c r="L9" i="1"/>
  <c r="E27" i="1"/>
  <c r="K27" i="1"/>
  <c r="L9" i="8"/>
  <c r="L27" i="8" s="1"/>
  <c r="K27" i="8"/>
  <c r="O9" i="8"/>
  <c r="N9" i="8"/>
  <c r="N27" i="8" s="1"/>
  <c r="M27" i="8"/>
  <c r="K9" i="9"/>
  <c r="K27" i="9" s="1"/>
  <c r="G27" i="9" l="1"/>
  <c r="E27" i="9"/>
  <c r="I27" i="9"/>
  <c r="G27" i="10"/>
  <c r="F27" i="10"/>
</calcChain>
</file>

<file path=xl/sharedStrings.xml><?xml version="1.0" encoding="utf-8"?>
<sst xmlns="http://schemas.openxmlformats.org/spreadsheetml/2006/main" count="169" uniqueCount="57">
  <si>
    <t>TASK #1</t>
  </si>
  <si>
    <t>TASK #2</t>
  </si>
  <si>
    <t>TASK #3</t>
  </si>
  <si>
    <t>COST BREAKDOWN</t>
  </si>
  <si>
    <t>Staff Person Assigned:</t>
  </si>
  <si>
    <t>Estimated Number of Hours Required</t>
  </si>
  <si>
    <t>Staff Hourly Rate &amp; Fringe</t>
  </si>
  <si>
    <t>All Direct Expenses</t>
  </si>
  <si>
    <t>d.  Travel</t>
  </si>
  <si>
    <t xml:space="preserve">     I.  Mileage</t>
  </si>
  <si>
    <t xml:space="preserve">     ii.  Meals</t>
  </si>
  <si>
    <t xml:space="preserve">     iii.  Lodging</t>
  </si>
  <si>
    <t xml:space="preserve">     iv.  Conference Registrations</t>
  </si>
  <si>
    <t>e.  Equipment and Supplies</t>
  </si>
  <si>
    <t>f.  Other/Misc.</t>
  </si>
  <si>
    <t>Indirect Expenses</t>
  </si>
  <si>
    <t xml:space="preserve"> </t>
  </si>
  <si>
    <t>TOTALS:</t>
  </si>
  <si>
    <t>BRPC MATCH</t>
  </si>
  <si>
    <t>b.  Postage (Moved to Indirect)</t>
  </si>
  <si>
    <t>c.  Communications (Moved to Indirect)</t>
  </si>
  <si>
    <t>Annual Salary</t>
  </si>
  <si>
    <t>Annual FICA (Salary * 0.0765)</t>
  </si>
  <si>
    <t>Annual Insurance Expense</t>
  </si>
  <si>
    <t>LAGERS Retirement</t>
  </si>
  <si>
    <t>Annual Workers Comp (Salary * rate)^</t>
  </si>
  <si>
    <t>Annual SUI</t>
  </si>
  <si>
    <t>Total Annual Salary-Related Costs</t>
  </si>
  <si>
    <t>Estimated Annual Base Hours</t>
  </si>
  <si>
    <t>Direct Cost per Hour (Salary-Related Costs/Base Hours)</t>
  </si>
  <si>
    <t>Percentage of Total Salaries</t>
  </si>
  <si>
    <t>Executive Director</t>
  </si>
  <si>
    <t>Totals</t>
  </si>
  <si>
    <t>MODOT</t>
  </si>
  <si>
    <t>TOTAL</t>
  </si>
  <si>
    <t>CONTRACT</t>
  </si>
  <si>
    <r>
      <t xml:space="preserve">a.  Copies </t>
    </r>
    <r>
      <rPr>
        <b/>
        <sz val="14"/>
        <rFont val="Arial"/>
        <family val="2"/>
      </rPr>
      <t>(Moved to Indirect)</t>
    </r>
  </si>
  <si>
    <t>HOURS</t>
  </si>
  <si>
    <t>Transportation Planner</t>
  </si>
  <si>
    <t>DIRECT COST ALLOCATION - (Total Including Part Time Workers)</t>
  </si>
  <si>
    <t>JOB TITLES</t>
  </si>
  <si>
    <t>*Insurance included in salary as reimbursement beginning 7/01/15</t>
  </si>
  <si>
    <t>Salary Insurance Reimb.</t>
  </si>
  <si>
    <t>Katelyn Lambert - Fiscal Officer</t>
  </si>
  <si>
    <t>Katelyn Lambert</t>
  </si>
  <si>
    <t>^ Assumes a rate of 0.0020 for all employees with the exclusion of the Fiscal Officer  &amp; Secretary (rate = 0.0032)</t>
  </si>
  <si>
    <t>RATE</t>
  </si>
  <si>
    <t xml:space="preserve">     Katelyn Lambert </t>
  </si>
  <si>
    <t>FOR MONTH ENDING ON March 31, 2022</t>
  </si>
  <si>
    <t>Jim Grebing</t>
  </si>
  <si>
    <t xml:space="preserve">     Jim Grebing</t>
  </si>
  <si>
    <t>Jim Grebing - Executive Director</t>
  </si>
  <si>
    <t xml:space="preserve">     Jared Brown</t>
  </si>
  <si>
    <t>Jared Brown - Transportation Planner</t>
  </si>
  <si>
    <t xml:space="preserve">     Jared Brown </t>
  </si>
  <si>
    <t>Assistant ED/Financial Officer</t>
  </si>
  <si>
    <t>Jared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</si>
</sst>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_);\(0.00\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39"/>
      <name val="Arial"/>
      <family val="2"/>
    </font>
    <font>
      <sz val="14"/>
      <color indexed="39"/>
      <name val="Arial"/>
      <family val="2"/>
    </font>
    <font>
      <b/>
      <u/>
      <sz val="14"/>
      <name val="Arial"/>
      <family val="2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41" fontId="0" fillId="0" borderId="1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41" fontId="0" fillId="0" borderId="1" xfId="0"/>
    <xf numFmtId="41" fontId="2" fillId="0" borderId="1" xfId="0" applyFont="1" applyAlignment="1">
      <alignment horizontal="center"/>
    </xf>
    <xf numFmtId="41" fontId="2" fillId="0" borderId="1" xfId="0" applyFont="1"/>
    <xf numFmtId="41" fontId="2" fillId="0" borderId="2" xfId="0" applyFont="1" applyBorder="1" applyAlignment="1">
      <alignment horizontal="center" wrapText="1"/>
    </xf>
    <xf numFmtId="10" fontId="3" fillId="0" borderId="1" xfId="0" applyNumberFormat="1" applyFont="1" applyAlignment="1">
      <alignment horizontal="center" vertical="top"/>
    </xf>
    <xf numFmtId="41" fontId="3" fillId="0" borderId="1" xfId="0" applyFont="1"/>
    <xf numFmtId="7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41" fontId="3" fillId="0" borderId="1" xfId="0" applyFont="1" applyAlignment="1">
      <alignment horizontal="center"/>
    </xf>
    <xf numFmtId="39" fontId="3" fillId="0" borderId="1" xfId="0" applyNumberFormat="1" applyFont="1" applyAlignment="1">
      <alignment horizontal="center"/>
    </xf>
    <xf numFmtId="164" fontId="4" fillId="0" borderId="1" xfId="0" applyNumberFormat="1" applyFont="1" applyAlignment="1">
      <alignment horizontal="left"/>
    </xf>
    <xf numFmtId="164" fontId="4" fillId="0" borderId="1" xfId="0" applyNumberFormat="1" applyFont="1"/>
    <xf numFmtId="164" fontId="4" fillId="2" borderId="1" xfId="0" applyNumberFormat="1" applyFont="1" applyFill="1" applyAlignment="1">
      <alignment horizontal="center"/>
    </xf>
    <xf numFmtId="164" fontId="4" fillId="0" borderId="1" xfId="0" applyNumberFormat="1" applyFont="1" applyAlignment="1">
      <alignment horizontal="center"/>
    </xf>
    <xf numFmtId="164" fontId="5" fillId="2" borderId="1" xfId="0" applyNumberFormat="1" applyFont="1" applyFill="1" applyAlignment="1">
      <alignment horizontal="center"/>
    </xf>
    <xf numFmtId="164" fontId="5" fillId="2" borderId="1" xfId="0" applyNumberFormat="1" applyFont="1" applyFill="1"/>
    <xf numFmtId="164" fontId="5" fillId="0" borderId="1" xfId="0" applyNumberFormat="1" applyFont="1"/>
    <xf numFmtId="164" fontId="4" fillId="2" borderId="1" xfId="0" applyNumberFormat="1" applyFont="1" applyFill="1"/>
    <xf numFmtId="0" fontId="4" fillId="0" borderId="1" xfId="0" applyNumberFormat="1" applyFont="1" applyAlignment="1">
      <alignment horizontal="left"/>
    </xf>
    <xf numFmtId="164" fontId="4" fillId="0" borderId="1" xfId="0" applyNumberFormat="1" applyFont="1" applyAlignment="1">
      <alignment horizontal="right"/>
    </xf>
    <xf numFmtId="0" fontId="4" fillId="0" borderId="1" xfId="0" applyNumberFormat="1" applyFont="1" applyAlignment="1">
      <alignment horizontal="center"/>
    </xf>
    <xf numFmtId="0" fontId="5" fillId="0" borderId="1" xfId="0" applyNumberFormat="1" applyFont="1"/>
    <xf numFmtId="41" fontId="2" fillId="0" borderId="1" xfId="0" applyFont="1" applyAlignment="1">
      <alignment vertical="top"/>
    </xf>
    <xf numFmtId="164" fontId="6" fillId="0" borderId="1" xfId="0" applyNumberFormat="1" applyFont="1" applyAlignment="1">
      <alignment horizontal="left"/>
    </xf>
    <xf numFmtId="164" fontId="7" fillId="0" borderId="1" xfId="0" applyNumberFormat="1" applyFont="1"/>
    <xf numFmtId="164" fontId="7" fillId="2" borderId="1" xfId="0" applyNumberFormat="1" applyFont="1" applyFill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2" borderId="5" xfId="0" applyNumberFormat="1" applyFont="1" applyFill="1" applyBorder="1"/>
    <xf numFmtId="164" fontId="4" fillId="0" borderId="0" xfId="0" applyNumberFormat="1" applyFont="1" applyBorder="1" applyAlignment="1">
      <alignment horizontal="left"/>
    </xf>
    <xf numFmtId="164" fontId="5" fillId="0" borderId="0" xfId="0" applyNumberFormat="1" applyFont="1" applyBorder="1"/>
    <xf numFmtId="164" fontId="5" fillId="3" borderId="0" xfId="0" applyNumberFormat="1" applyFont="1" applyFill="1" applyBorder="1"/>
    <xf numFmtId="164" fontId="7" fillId="3" borderId="0" xfId="0" applyNumberFormat="1" applyFont="1" applyFill="1" applyBorder="1"/>
    <xf numFmtId="164" fontId="8" fillId="0" borderId="0" xfId="0" applyNumberFormat="1" applyFont="1" applyBorder="1"/>
    <xf numFmtId="164" fontId="4" fillId="3" borderId="1" xfId="0" applyNumberFormat="1" applyFont="1" applyFill="1" applyAlignment="1">
      <alignment horizontal="center"/>
    </xf>
    <xf numFmtId="164" fontId="5" fillId="3" borderId="1" xfId="0" applyNumberFormat="1" applyFont="1" applyFill="1"/>
    <xf numFmtId="164" fontId="5" fillId="3" borderId="5" xfId="0" applyNumberFormat="1" applyFont="1" applyFill="1" applyBorder="1"/>
    <xf numFmtId="41" fontId="2" fillId="0" borderId="1" xfId="0" applyFont="1" applyAlignment="1">
      <alignment horizontal="center" vertical="top" wrapText="1"/>
    </xf>
    <xf numFmtId="164" fontId="5" fillId="4" borderId="1" xfId="0" applyNumberFormat="1" applyFont="1" applyFill="1"/>
    <xf numFmtId="44" fontId="5" fillId="2" borderId="1" xfId="1" applyFont="1" applyFill="1" applyBorder="1"/>
    <xf numFmtId="9" fontId="5" fillId="0" borderId="1" xfId="0" applyNumberFormat="1" applyFont="1"/>
    <xf numFmtId="164" fontId="5" fillId="5" borderId="1" xfId="0" applyNumberFormat="1" applyFont="1" applyFill="1"/>
    <xf numFmtId="10" fontId="5" fillId="0" borderId="1" xfId="2" applyNumberFormat="1" applyFont="1" applyBorder="1"/>
    <xf numFmtId="10" fontId="3" fillId="0" borderId="2" xfId="0" applyNumberFormat="1" applyFont="1" applyBorder="1" applyAlignment="1">
      <alignment horizontal="center" vertical="top"/>
    </xf>
    <xf numFmtId="41" fontId="9" fillId="0" borderId="1" xfId="0" applyFont="1" applyAlignment="1">
      <alignment vertical="top"/>
    </xf>
    <xf numFmtId="164" fontId="5" fillId="0" borderId="6" xfId="0" applyNumberFormat="1" applyFont="1" applyBorder="1"/>
    <xf numFmtId="164" fontId="5" fillId="0" borderId="7" xfId="0" applyNumberFormat="1" applyFont="1" applyBorder="1"/>
    <xf numFmtId="10" fontId="3" fillId="0" borderId="1" xfId="0" applyNumberFormat="1" applyFont="1" applyAlignment="1">
      <alignment horizontal="center" vertical="top"/>
    </xf>
    <xf numFmtId="10" fontId="3" fillId="0" borderId="2" xfId="0" applyNumberFormat="1" applyFont="1" applyBorder="1" applyAlignment="1">
      <alignment horizontal="center" vertical="top"/>
    </xf>
    <xf numFmtId="39" fontId="3" fillId="0" borderId="1" xfId="0" applyNumberFormat="1" applyFont="1" applyAlignment="1">
      <alignment horizontal="center" vertical="top"/>
    </xf>
    <xf numFmtId="2" fontId="3" fillId="0" borderId="1" xfId="0" applyNumberFormat="1" applyFont="1" applyAlignment="1">
      <alignment horizontal="center" vertical="top"/>
    </xf>
    <xf numFmtId="37" fontId="3" fillId="0" borderId="1" xfId="0" applyNumberFormat="1" applyFont="1" applyAlignment="1">
      <alignment horizontal="center" vertical="top"/>
    </xf>
    <xf numFmtId="39" fontId="2" fillId="0" borderId="1" xfId="0" applyNumberFormat="1" applyFont="1" applyAlignment="1">
      <alignment horizontal="center" vertical="top"/>
    </xf>
    <xf numFmtId="41" fontId="2" fillId="0" borderId="1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bruary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"/>
      <sheetName val="Expenses"/>
      <sheetName val="Billable Amts"/>
      <sheetName val="Leave"/>
      <sheetName val="Accrual Rec"/>
      <sheetName val="WFD"/>
      <sheetName val="EDA"/>
      <sheetName val="Exp Alloc"/>
      <sheetName val="Indirect Costs"/>
      <sheetName val="TAC"/>
      <sheetName val="Direct Costs"/>
      <sheetName val="Base Hours"/>
    </sheetNames>
    <sheetDataSet>
      <sheetData sheetId="0" refreshError="1"/>
      <sheetData sheetId="1" refreshError="1"/>
      <sheetData sheetId="2" refreshError="1">
        <row r="1">
          <cell r="A1" t="str">
            <v>BOOTHEEL REGIONAL PLANNING COMMISSION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workbookViewId="0">
      <selection activeCell="K9" sqref="K9:K10"/>
    </sheetView>
  </sheetViews>
  <sheetFormatPr defaultRowHeight="12.75" x14ac:dyDescent="0.2"/>
  <cols>
    <col min="1" max="1" width="30.85546875" customWidth="1"/>
    <col min="2" max="2" width="13.28515625" bestFit="1" customWidth="1"/>
    <col min="3" max="3" width="10.85546875" bestFit="1" customWidth="1"/>
    <col min="4" max="6" width="12" bestFit="1" customWidth="1"/>
    <col min="8" max="8" width="10.85546875" bestFit="1" customWidth="1"/>
    <col min="9" max="9" width="13.28515625" bestFit="1" customWidth="1"/>
    <col min="10" max="10" width="11" customWidth="1"/>
    <col min="11" max="11" width="12.42578125" customWidth="1"/>
    <col min="12" max="12" width="11.5703125" customWidth="1"/>
  </cols>
  <sheetData>
    <row r="1" spans="1:15" ht="15.75" x14ac:dyDescent="0.25">
      <c r="A1" s="54" t="str">
        <f>'[1]Billable Amts'!A1</f>
        <v>BOOTHEEL REGIONAL PLANNING COMMISSION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5" ht="15.75" x14ac:dyDescent="0.25">
      <c r="A2" s="54" t="s">
        <v>39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1"/>
    </row>
    <row r="3" spans="1:15" ht="15.75" x14ac:dyDescent="0.25">
      <c r="A3" s="54" t="s">
        <v>48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1"/>
    </row>
    <row r="4" spans="1:15" ht="110.25" x14ac:dyDescent="0.25">
      <c r="A4" s="38" t="s">
        <v>41</v>
      </c>
      <c r="B4" s="3" t="s">
        <v>21</v>
      </c>
      <c r="C4" s="3" t="s">
        <v>42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30</v>
      </c>
    </row>
    <row r="5" spans="1:15" ht="15.75" x14ac:dyDescent="0.2">
      <c r="A5" s="23" t="s">
        <v>49</v>
      </c>
      <c r="B5" s="50">
        <f>70200*1.03</f>
        <v>72306</v>
      </c>
      <c r="C5" s="50">
        <f>165.79*12</f>
        <v>1989.48</v>
      </c>
      <c r="D5" s="50">
        <f>ROUND((B5+C5)*0.0765,2)</f>
        <v>5683.6</v>
      </c>
      <c r="E5" s="50">
        <f>SUM(4.5*12)</f>
        <v>54</v>
      </c>
      <c r="F5" s="50">
        <f t="shared" ref="F5" si="0">SUM((B5+C5)*0.152)</f>
        <v>11292.91296</v>
      </c>
      <c r="G5" s="50">
        <f>ROUND((B5+C5)*0.0032,2)</f>
        <v>237.75</v>
      </c>
      <c r="H5" s="50">
        <f t="shared" ref="H5" si="1">SUM(10000*0.00837)</f>
        <v>83.7</v>
      </c>
      <c r="I5" s="50">
        <f>SUM(B5:H5)</f>
        <v>91647.44296</v>
      </c>
      <c r="J5" s="52">
        <v>2080</v>
      </c>
      <c r="K5" s="53">
        <f>I5/J5</f>
        <v>44.061270653846151</v>
      </c>
      <c r="L5" s="48">
        <f>B5/$B$11</f>
        <v>0.4126022358691816</v>
      </c>
      <c r="M5" s="50"/>
      <c r="N5" s="51"/>
      <c r="O5" s="4"/>
    </row>
    <row r="6" spans="1:15" ht="36" customHeight="1" x14ac:dyDescent="0.2">
      <c r="A6" s="23" t="s">
        <v>31</v>
      </c>
      <c r="B6" s="50"/>
      <c r="C6" s="50"/>
      <c r="D6" s="50"/>
      <c r="E6" s="50"/>
      <c r="F6" s="50"/>
      <c r="G6" s="50"/>
      <c r="H6" s="50"/>
      <c r="I6" s="50"/>
      <c r="J6" s="52"/>
      <c r="K6" s="53"/>
      <c r="L6" s="48"/>
      <c r="M6" s="50"/>
      <c r="N6" s="51"/>
      <c r="O6" s="44"/>
    </row>
    <row r="7" spans="1:15" ht="15.75" x14ac:dyDescent="0.25">
      <c r="A7" s="2" t="s">
        <v>44</v>
      </c>
      <c r="B7" s="50">
        <f>57816.99*1.05</f>
        <v>60707.839500000002</v>
      </c>
      <c r="C7" s="50">
        <f>192.56*12</f>
        <v>2310.7200000000003</v>
      </c>
      <c r="D7" s="50">
        <f>ROUND((B7+C7)*0.0765,2)</f>
        <v>4820.92</v>
      </c>
      <c r="E7" s="50">
        <f>SUM(4.5*12)</f>
        <v>54</v>
      </c>
      <c r="F7" s="50">
        <f>SUM((B7+C7)*0.152)</f>
        <v>9578.8210440000003</v>
      </c>
      <c r="G7" s="50">
        <f>ROUND((B7+C7)*0.0032,2)</f>
        <v>201.66</v>
      </c>
      <c r="H7" s="50">
        <f>SUM(10000*0.00837)</f>
        <v>83.7</v>
      </c>
      <c r="I7" s="50">
        <f>SUM(B7:H7)</f>
        <v>77757.660543999998</v>
      </c>
      <c r="J7" s="52">
        <v>2080</v>
      </c>
      <c r="K7" s="53">
        <f>I7/J7</f>
        <v>37.383490646153845</v>
      </c>
      <c r="L7" s="48">
        <f>B7/$B$11</f>
        <v>0.34641925030408843</v>
      </c>
      <c r="M7" s="51"/>
      <c r="N7" s="51"/>
      <c r="O7" s="48"/>
    </row>
    <row r="8" spans="1:15" ht="36.75" customHeight="1" x14ac:dyDescent="0.2">
      <c r="A8" s="23" t="s">
        <v>55</v>
      </c>
      <c r="B8" s="50"/>
      <c r="C8" s="50"/>
      <c r="D8" s="50"/>
      <c r="E8" s="50"/>
      <c r="F8" s="50"/>
      <c r="G8" s="50"/>
      <c r="H8" s="50"/>
      <c r="I8" s="50"/>
      <c r="J8" s="52"/>
      <c r="K8" s="53"/>
      <c r="L8" s="48"/>
      <c r="M8" s="51"/>
      <c r="N8" s="51"/>
      <c r="O8" s="49"/>
    </row>
    <row r="9" spans="1:15" ht="15.75" x14ac:dyDescent="0.2">
      <c r="A9" s="23" t="s">
        <v>56</v>
      </c>
      <c r="B9" s="50">
        <f>41000*1.03</f>
        <v>42230</v>
      </c>
      <c r="C9" s="50">
        <v>0</v>
      </c>
      <c r="D9" s="50">
        <f>ROUND((B9+C9)*0.0765,2)</f>
        <v>3230.6</v>
      </c>
      <c r="E9" s="50">
        <f>SUM((4.5+849.9)*12)</f>
        <v>10252.799999999999</v>
      </c>
      <c r="F9" s="50">
        <f>SUM(B9+C9)*0.152</f>
        <v>6418.96</v>
      </c>
      <c r="G9" s="50">
        <f>SUM((B9+C9)*0.002)</f>
        <v>84.460000000000008</v>
      </c>
      <c r="H9" s="50">
        <f t="shared" ref="H9" si="2">SUM(10000*0.00837)</f>
        <v>83.7</v>
      </c>
      <c r="I9" s="50">
        <f>SUM(B9:H9)</f>
        <v>62300.51999999999</v>
      </c>
      <c r="J9" s="52">
        <f>2080</f>
        <v>2080</v>
      </c>
      <c r="K9" s="53">
        <f>I9/J9</f>
        <v>29.952173076923071</v>
      </c>
      <c r="L9" s="48">
        <f>B9/$B$11</f>
        <v>0.24097851382672997</v>
      </c>
      <c r="M9" s="50"/>
      <c r="N9" s="51"/>
      <c r="O9" s="48"/>
    </row>
    <row r="10" spans="1:15" ht="33" customHeight="1" x14ac:dyDescent="0.2">
      <c r="A10" s="45" t="s">
        <v>38</v>
      </c>
      <c r="B10" s="50"/>
      <c r="C10" s="50"/>
      <c r="D10" s="50"/>
      <c r="E10" s="50"/>
      <c r="F10" s="50"/>
      <c r="G10" s="50"/>
      <c r="H10" s="50"/>
      <c r="I10" s="50"/>
      <c r="J10" s="52"/>
      <c r="K10" s="53"/>
      <c r="L10" s="48"/>
      <c r="M10" s="50"/>
      <c r="N10" s="51"/>
      <c r="O10" s="48"/>
    </row>
    <row r="11" spans="1:15" ht="16.5" thickBot="1" x14ac:dyDescent="0.3">
      <c r="A11" s="2" t="s">
        <v>32</v>
      </c>
      <c r="B11" s="6">
        <f t="shared" ref="B11:L11" si="3">SUM(B5:B10)</f>
        <v>175243.8395</v>
      </c>
      <c r="C11" s="6">
        <f t="shared" si="3"/>
        <v>4300.2000000000007</v>
      </c>
      <c r="D11" s="6">
        <f t="shared" si="3"/>
        <v>13735.12</v>
      </c>
      <c r="E11" s="6">
        <f t="shared" si="3"/>
        <v>10360.799999999999</v>
      </c>
      <c r="F11" s="6">
        <f t="shared" si="3"/>
        <v>27290.694003999997</v>
      </c>
      <c r="G11" s="6">
        <f t="shared" si="3"/>
        <v>523.87</v>
      </c>
      <c r="H11" s="6">
        <f t="shared" si="3"/>
        <v>251.10000000000002</v>
      </c>
      <c r="I11" s="6">
        <f t="shared" si="3"/>
        <v>231705.62350399999</v>
      </c>
      <c r="J11" s="7">
        <f t="shared" si="3"/>
        <v>6240</v>
      </c>
      <c r="K11" s="6">
        <f t="shared" si="3"/>
        <v>111.39693437692307</v>
      </c>
      <c r="L11" s="8">
        <f t="shared" si="3"/>
        <v>1</v>
      </c>
    </row>
    <row r="12" spans="1:15" ht="16.5" thickTop="1" x14ac:dyDescent="0.25">
      <c r="A12" s="5"/>
      <c r="B12" s="9"/>
      <c r="C12" s="9"/>
      <c r="D12" s="9"/>
      <c r="E12" s="9"/>
      <c r="F12" s="9"/>
      <c r="G12" s="9"/>
      <c r="H12" s="9"/>
      <c r="I12" s="9"/>
      <c r="J12" s="9"/>
      <c r="K12" s="10"/>
      <c r="L12" s="9"/>
    </row>
    <row r="13" spans="1:15" ht="15.75" x14ac:dyDescent="0.25">
      <c r="A13" s="5" t="s">
        <v>45</v>
      </c>
      <c r="B13" s="9"/>
      <c r="C13" s="9"/>
      <c r="D13" s="9"/>
      <c r="E13" s="9"/>
      <c r="F13" s="9"/>
      <c r="G13" s="9"/>
      <c r="H13" s="9"/>
      <c r="I13" s="9"/>
      <c r="J13" s="9"/>
      <c r="K13" s="10"/>
      <c r="L13" s="9"/>
    </row>
  </sheetData>
  <mergeCells count="44">
    <mergeCell ref="A1:K1"/>
    <mergeCell ref="A2:K2"/>
    <mergeCell ref="A3:K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B7:B8"/>
    <mergeCell ref="C7:C8"/>
    <mergeCell ref="D7:D8"/>
    <mergeCell ref="E7:E8"/>
    <mergeCell ref="F7:F8"/>
    <mergeCell ref="B9:B10"/>
    <mergeCell ref="C9:C10"/>
    <mergeCell ref="D9:D10"/>
    <mergeCell ref="E9:E10"/>
    <mergeCell ref="F9:F10"/>
    <mergeCell ref="G7:G8"/>
    <mergeCell ref="H7:H8"/>
    <mergeCell ref="I7:I8"/>
    <mergeCell ref="J7:J8"/>
    <mergeCell ref="K7:K8"/>
    <mergeCell ref="G9:G10"/>
    <mergeCell ref="H9:H10"/>
    <mergeCell ref="I9:I10"/>
    <mergeCell ref="J9:J10"/>
    <mergeCell ref="K9:K10"/>
    <mergeCell ref="M5:M6"/>
    <mergeCell ref="N5:N6"/>
    <mergeCell ref="L7:L8"/>
    <mergeCell ref="M7:M8"/>
    <mergeCell ref="N7:N8"/>
    <mergeCell ref="L5:L6"/>
    <mergeCell ref="O7:O8"/>
    <mergeCell ref="L9:L10"/>
    <mergeCell ref="M9:M10"/>
    <mergeCell ref="N9:N10"/>
    <mergeCell ref="O9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zoomScale="70" zoomScaleNormal="7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27" sqref="O27"/>
    </sheetView>
  </sheetViews>
  <sheetFormatPr defaultRowHeight="18" x14ac:dyDescent="0.25"/>
  <cols>
    <col min="1" max="1" width="7.5703125" style="11" bestFit="1" customWidth="1"/>
    <col min="2" max="2" width="51.7109375" style="17" bestFit="1" customWidth="1"/>
    <col min="3" max="3" width="10.5703125" style="17" customWidth="1"/>
    <col min="4" max="4" width="17.140625" style="16" bestFit="1" customWidth="1"/>
    <col min="5" max="5" width="20" style="17" customWidth="1"/>
    <col min="6" max="6" width="14" style="17" bestFit="1" customWidth="1"/>
    <col min="7" max="7" width="17.140625" style="16" bestFit="1" customWidth="1"/>
    <col min="8" max="8" width="20" style="17" customWidth="1"/>
    <col min="9" max="9" width="14" style="17" bestFit="1" customWidth="1"/>
    <col min="10" max="10" width="12.7109375" style="16" customWidth="1"/>
    <col min="11" max="11" width="20" style="17" customWidth="1"/>
    <col min="12" max="12" width="14" style="17" bestFit="1" customWidth="1"/>
    <col min="13" max="13" width="16.85546875" style="16" bestFit="1" customWidth="1"/>
    <col min="14" max="14" width="14" style="16" bestFit="1" customWidth="1"/>
    <col min="15" max="15" width="20" style="16" bestFit="1" customWidth="1"/>
    <col min="16" max="16384" width="9.140625" style="17"/>
  </cols>
  <sheetData>
    <row r="1" spans="1:15" s="12" customFormat="1" x14ac:dyDescent="0.25">
      <c r="A1" s="11"/>
      <c r="D1" s="13" t="s">
        <v>0</v>
      </c>
      <c r="E1" s="14" t="s">
        <v>0</v>
      </c>
      <c r="F1" s="14"/>
      <c r="G1" s="13" t="s">
        <v>1</v>
      </c>
      <c r="H1" s="14" t="s">
        <v>1</v>
      </c>
      <c r="I1" s="14"/>
      <c r="J1" s="13" t="s">
        <v>2</v>
      </c>
      <c r="K1" s="14" t="s">
        <v>2</v>
      </c>
      <c r="L1" s="14"/>
      <c r="M1" s="13" t="s">
        <v>35</v>
      </c>
      <c r="N1" s="13" t="s">
        <v>33</v>
      </c>
      <c r="O1" s="13" t="s">
        <v>18</v>
      </c>
    </row>
    <row r="2" spans="1:15" s="12" customFormat="1" x14ac:dyDescent="0.25">
      <c r="A2" s="11"/>
      <c r="B2" s="12" t="s">
        <v>16</v>
      </c>
      <c r="C2" s="14" t="s">
        <v>46</v>
      </c>
      <c r="D2" s="13"/>
      <c r="E2" s="14" t="s">
        <v>18</v>
      </c>
      <c r="F2" s="14"/>
      <c r="G2" s="13"/>
      <c r="H2" s="14" t="s">
        <v>18</v>
      </c>
      <c r="I2" s="14"/>
      <c r="J2" s="13"/>
      <c r="K2" s="14" t="s">
        <v>18</v>
      </c>
      <c r="L2" s="14"/>
      <c r="M2" s="13" t="s">
        <v>34</v>
      </c>
      <c r="N2" s="13" t="s">
        <v>34</v>
      </c>
      <c r="O2" s="13" t="s">
        <v>34</v>
      </c>
    </row>
    <row r="3" spans="1:15" s="12" customFormat="1" x14ac:dyDescent="0.25">
      <c r="A3" s="11"/>
      <c r="D3" s="16"/>
      <c r="E3" s="17"/>
      <c r="F3" s="17"/>
      <c r="G3" s="16"/>
      <c r="H3" s="41">
        <v>0.2</v>
      </c>
      <c r="I3" s="41">
        <v>0.8</v>
      </c>
      <c r="J3" s="16"/>
      <c r="K3" s="17"/>
      <c r="L3" s="17"/>
      <c r="M3" s="18"/>
      <c r="N3" s="18"/>
      <c r="O3" s="18"/>
    </row>
    <row r="4" spans="1:15" s="12" customFormat="1" x14ac:dyDescent="0.25">
      <c r="A4" s="11"/>
      <c r="D4" s="16"/>
      <c r="E4" s="17"/>
      <c r="F4" s="17"/>
      <c r="G4" s="16"/>
      <c r="H4" s="17"/>
      <c r="I4" s="17"/>
      <c r="J4" s="16"/>
      <c r="K4" s="17"/>
      <c r="L4" s="17"/>
      <c r="M4" s="18"/>
      <c r="N4" s="18"/>
      <c r="O4" s="18"/>
    </row>
    <row r="5" spans="1:15" x14ac:dyDescent="0.25">
      <c r="B5" s="12" t="s">
        <v>3</v>
      </c>
      <c r="C5" s="12"/>
    </row>
    <row r="7" spans="1:15" x14ac:dyDescent="0.25">
      <c r="A7" s="19">
        <v>1</v>
      </c>
      <c r="B7" s="12" t="s">
        <v>4</v>
      </c>
      <c r="C7" s="12"/>
    </row>
    <row r="8" spans="1:15" x14ac:dyDescent="0.25">
      <c r="A8" s="19"/>
      <c r="B8" s="17" t="s">
        <v>52</v>
      </c>
      <c r="C8" s="17">
        <f>ROUND(Salaries!K9,2)</f>
        <v>29.95</v>
      </c>
      <c r="D8" s="40">
        <f>ROUND(C8*'Hours-Task'!E8,2)</f>
        <v>22911.75</v>
      </c>
      <c r="E8" s="17">
        <f t="shared" ref="E8:E10" si="0">ROUND(SUM(D8*0.2),2)</f>
        <v>4582.3500000000004</v>
      </c>
      <c r="F8" s="17">
        <f t="shared" ref="F8:F10" si="1">SUM(D8-E8)</f>
        <v>18329.400000000001</v>
      </c>
      <c r="G8" s="40">
        <f>ROUND(C8*'Hours-Task'!G8,2)</f>
        <v>23960</v>
      </c>
      <c r="H8" s="17">
        <f t="shared" ref="H8:H10" si="2">ROUND(SUM(G8*0.2),2)</f>
        <v>4792</v>
      </c>
      <c r="I8" s="17">
        <f t="shared" ref="I8:I10" si="3">SUM(G8-H8)</f>
        <v>19168</v>
      </c>
      <c r="J8" s="16">
        <f>ROUND(C8*'Hours-Task'!I8,2)</f>
        <v>2995</v>
      </c>
      <c r="K8" s="17">
        <f t="shared" ref="K8:K10" si="4">ROUND(SUM(J8*0.2),2)</f>
        <v>599</v>
      </c>
      <c r="L8" s="17">
        <f t="shared" ref="L8:L10" si="5">SUM(J8-K8)</f>
        <v>2396</v>
      </c>
      <c r="M8" s="16">
        <f t="shared" ref="M8:M10" si="6">D8+G8+J8</f>
        <v>49866.75</v>
      </c>
      <c r="N8" s="16">
        <f t="shared" ref="N8:N10" si="7">SUM(M8*80%)</f>
        <v>39893.4</v>
      </c>
      <c r="O8" s="16">
        <f t="shared" ref="O8:O10" si="8">M8*20%</f>
        <v>9973.35</v>
      </c>
    </row>
    <row r="9" spans="1:15" x14ac:dyDescent="0.25">
      <c r="A9" s="19"/>
      <c r="B9" s="17" t="s">
        <v>50</v>
      </c>
      <c r="C9" s="17">
        <f>ROUND(Salaries!K5,2)</f>
        <v>44.06</v>
      </c>
      <c r="D9" s="40">
        <f>ROUND(C9*'Hours-Task'!E9,2)</f>
        <v>4406</v>
      </c>
      <c r="E9" s="17">
        <f t="shared" si="0"/>
        <v>881.2</v>
      </c>
      <c r="F9" s="17">
        <f t="shared" si="1"/>
        <v>3524.8</v>
      </c>
      <c r="G9" s="40">
        <f>ROUND(C9*'Hours-Task'!G9,2)</f>
        <v>4406</v>
      </c>
      <c r="H9" s="17">
        <f t="shared" si="2"/>
        <v>881.2</v>
      </c>
      <c r="I9" s="17">
        <f t="shared" si="3"/>
        <v>3524.8</v>
      </c>
      <c r="J9" s="16">
        <f>ROUND(C9*'Hours-Task'!I9,2)</f>
        <v>4406</v>
      </c>
      <c r="K9" s="17">
        <f t="shared" si="4"/>
        <v>881.2</v>
      </c>
      <c r="L9" s="17">
        <f t="shared" si="5"/>
        <v>3524.8</v>
      </c>
      <c r="M9" s="16">
        <f t="shared" si="6"/>
        <v>13218</v>
      </c>
      <c r="N9" s="16">
        <f t="shared" si="7"/>
        <v>10574.400000000001</v>
      </c>
      <c r="O9" s="16">
        <f t="shared" si="8"/>
        <v>2643.6000000000004</v>
      </c>
    </row>
    <row r="10" spans="1:15" x14ac:dyDescent="0.25">
      <c r="A10" s="19"/>
      <c r="B10" s="17" t="s">
        <v>47</v>
      </c>
      <c r="C10" s="17">
        <f>ROUND(Salaries!K7,2)</f>
        <v>37.380000000000003</v>
      </c>
      <c r="D10" s="40">
        <f>ROUND(C10*'Hours-Task'!E10,2)</f>
        <v>7476</v>
      </c>
      <c r="E10" s="17">
        <f t="shared" si="0"/>
        <v>1495.2</v>
      </c>
      <c r="F10" s="17">
        <f t="shared" si="1"/>
        <v>5980.8</v>
      </c>
      <c r="G10" s="40">
        <f>ROUND(C10*'Hours-Task'!G10,2)</f>
        <v>3738</v>
      </c>
      <c r="H10" s="17">
        <f t="shared" si="2"/>
        <v>747.6</v>
      </c>
      <c r="I10" s="17">
        <f t="shared" si="3"/>
        <v>2990.4</v>
      </c>
      <c r="J10" s="16">
        <f>ROUND(C10*'Hours-Task'!I10,2)</f>
        <v>3738</v>
      </c>
      <c r="K10" s="17">
        <f t="shared" si="4"/>
        <v>747.6</v>
      </c>
      <c r="L10" s="17">
        <f t="shared" si="5"/>
        <v>2990.4</v>
      </c>
      <c r="M10" s="16">
        <f t="shared" si="6"/>
        <v>14952</v>
      </c>
      <c r="N10" s="16">
        <f t="shared" si="7"/>
        <v>11961.6</v>
      </c>
      <c r="O10" s="16">
        <f t="shared" si="8"/>
        <v>2990.4</v>
      </c>
    </row>
    <row r="11" spans="1:15" x14ac:dyDescent="0.25">
      <c r="A11" s="19"/>
    </row>
    <row r="12" spans="1:15" x14ac:dyDescent="0.25">
      <c r="A12" s="19">
        <v>2</v>
      </c>
      <c r="B12" s="12" t="s">
        <v>5</v>
      </c>
      <c r="C12" s="12"/>
      <c r="D12" s="16">
        <f>'Hours-Task'!D12</f>
        <v>1065</v>
      </c>
      <c r="G12" s="16">
        <f>'Hours-Task'!F12</f>
        <v>1000</v>
      </c>
      <c r="J12" s="16">
        <f>'Hours-Task'!H12</f>
        <v>300</v>
      </c>
    </row>
    <row r="13" spans="1:15" x14ac:dyDescent="0.25">
      <c r="A13" s="19">
        <v>3</v>
      </c>
      <c r="B13" s="12" t="s">
        <v>6</v>
      </c>
      <c r="C13" s="12"/>
      <c r="D13" s="16">
        <f>SUM(D8:D11)/D12</f>
        <v>32.670187793427232</v>
      </c>
      <c r="G13" s="16">
        <f>SUM(G8:G11)/G12</f>
        <v>32.103999999999999</v>
      </c>
      <c r="J13" s="16">
        <f>SUM(J8:J11)/J12</f>
        <v>37.130000000000003</v>
      </c>
    </row>
    <row r="14" spans="1:15" x14ac:dyDescent="0.25">
      <c r="A14" s="19">
        <v>4</v>
      </c>
      <c r="B14" s="12" t="s">
        <v>7</v>
      </c>
      <c r="C14" s="12"/>
    </row>
    <row r="15" spans="1:15" x14ac:dyDescent="0.25">
      <c r="A15" s="19"/>
      <c r="B15" s="17" t="s">
        <v>36</v>
      </c>
      <c r="M15" s="16">
        <f>D15+G15+J15</f>
        <v>0</v>
      </c>
      <c r="N15" s="16">
        <f>SUM(M15*80%)</f>
        <v>0</v>
      </c>
      <c r="O15" s="16">
        <f>SUM(E15+H15+K15)</f>
        <v>0</v>
      </c>
    </row>
    <row r="16" spans="1:15" x14ac:dyDescent="0.25">
      <c r="A16" s="19"/>
      <c r="B16" s="17" t="s">
        <v>19</v>
      </c>
      <c r="M16" s="16">
        <f>D16+G16+J16</f>
        <v>0</v>
      </c>
      <c r="N16" s="16">
        <f>SUM(M16*80%)</f>
        <v>0</v>
      </c>
      <c r="O16" s="16">
        <f>SUM(E16+H16+K16)</f>
        <v>0</v>
      </c>
    </row>
    <row r="17" spans="1:15" x14ac:dyDescent="0.25">
      <c r="A17" s="19"/>
      <c r="B17" s="17" t="s">
        <v>20</v>
      </c>
      <c r="M17" s="16">
        <f>D17+G17+J17</f>
        <v>0</v>
      </c>
      <c r="N17" s="16">
        <f>SUM(M17*80%)</f>
        <v>0</v>
      </c>
      <c r="O17" s="16">
        <f>SUM(E17+H17+K17)</f>
        <v>0</v>
      </c>
    </row>
    <row r="18" spans="1:15" x14ac:dyDescent="0.25">
      <c r="A18" s="19"/>
      <c r="B18" s="12" t="s">
        <v>8</v>
      </c>
      <c r="C18" s="12"/>
    </row>
    <row r="19" spans="1:15" x14ac:dyDescent="0.25">
      <c r="A19" s="19"/>
      <c r="B19" s="17" t="s">
        <v>9</v>
      </c>
      <c r="D19" s="16">
        <f>TASKS!D19</f>
        <v>2500</v>
      </c>
      <c r="E19" s="17">
        <f>ROUND(SUM(D19*0.2),2)</f>
        <v>500</v>
      </c>
      <c r="F19" s="17">
        <f t="shared" ref="F19:F24" si="9">SUM(D19-E19)</f>
        <v>2000</v>
      </c>
      <c r="G19" s="16">
        <f>TASKS!F19</f>
        <v>0</v>
      </c>
      <c r="H19" s="17">
        <f>ROUND(SUM(G19*0.2),2)</f>
        <v>0</v>
      </c>
      <c r="I19" s="17">
        <f t="shared" ref="I19:I25" si="10">SUM(G19-H19)</f>
        <v>0</v>
      </c>
      <c r="J19" s="16">
        <f>TASKS!H19</f>
        <v>0</v>
      </c>
      <c r="K19" s="17">
        <f>ROUND(SUM(J19*0.2),2)</f>
        <v>0</v>
      </c>
      <c r="L19" s="17">
        <f t="shared" ref="L19:L25" si="11">SUM(J19-K19)</f>
        <v>0</v>
      </c>
      <c r="M19" s="16">
        <f>D19+G19+J19</f>
        <v>2500</v>
      </c>
      <c r="N19" s="16">
        <f t="shared" ref="N19:N24" si="12">SUM(M19*80%)</f>
        <v>2000</v>
      </c>
      <c r="O19" s="16">
        <f>SUM(E19+H19+K19)</f>
        <v>500</v>
      </c>
    </row>
    <row r="20" spans="1:15" x14ac:dyDescent="0.25">
      <c r="A20" s="19"/>
      <c r="B20" s="17" t="s">
        <v>10</v>
      </c>
      <c r="D20" s="16">
        <f>TASKS!D20</f>
        <v>1000</v>
      </c>
      <c r="E20" s="17">
        <f t="shared" ref="E20:E25" si="13">ROUND(SUM(D20*0.2),2)</f>
        <v>200</v>
      </c>
      <c r="F20" s="17">
        <f t="shared" si="9"/>
        <v>800</v>
      </c>
      <c r="G20" s="16">
        <f>TASKS!F20</f>
        <v>0</v>
      </c>
      <c r="H20" s="17">
        <f t="shared" ref="H20:H25" si="14">ROUND(SUM(G20*0.2),2)</f>
        <v>0</v>
      </c>
      <c r="I20" s="17">
        <f t="shared" si="10"/>
        <v>0</v>
      </c>
      <c r="J20" s="16">
        <f>TASKS!H20</f>
        <v>0</v>
      </c>
      <c r="K20" s="17">
        <f t="shared" ref="K20:K25" si="15">ROUND(SUM(J20*0.2),2)</f>
        <v>0</v>
      </c>
      <c r="L20" s="17">
        <f t="shared" si="11"/>
        <v>0</v>
      </c>
      <c r="M20" s="16">
        <f t="shared" ref="M20:M25" si="16">D20+G20+J20</f>
        <v>1000</v>
      </c>
      <c r="N20" s="16">
        <f t="shared" si="12"/>
        <v>800</v>
      </c>
      <c r="O20" s="16">
        <f t="shared" ref="O20:O25" si="17">SUM(E20+H20+K20)</f>
        <v>200</v>
      </c>
    </row>
    <row r="21" spans="1:15" x14ac:dyDescent="0.25">
      <c r="A21" s="19"/>
      <c r="B21" s="17" t="s">
        <v>11</v>
      </c>
      <c r="D21" s="16">
        <f>TASKS!D21</f>
        <v>2000</v>
      </c>
      <c r="E21" s="17">
        <f t="shared" si="13"/>
        <v>400</v>
      </c>
      <c r="F21" s="17">
        <f t="shared" si="9"/>
        <v>1600</v>
      </c>
      <c r="G21" s="16">
        <f>TASKS!F21</f>
        <v>0</v>
      </c>
      <c r="H21" s="17">
        <f t="shared" si="14"/>
        <v>0</v>
      </c>
      <c r="I21" s="17">
        <f t="shared" si="10"/>
        <v>0</v>
      </c>
      <c r="J21" s="16">
        <f>TASKS!H21</f>
        <v>0</v>
      </c>
      <c r="K21" s="17">
        <f t="shared" si="15"/>
        <v>0</v>
      </c>
      <c r="L21" s="17">
        <f t="shared" si="11"/>
        <v>0</v>
      </c>
      <c r="M21" s="16">
        <f t="shared" si="16"/>
        <v>2000</v>
      </c>
      <c r="N21" s="16">
        <f t="shared" si="12"/>
        <v>1600</v>
      </c>
      <c r="O21" s="16">
        <f t="shared" si="17"/>
        <v>400</v>
      </c>
    </row>
    <row r="22" spans="1:15" x14ac:dyDescent="0.25">
      <c r="A22" s="19"/>
      <c r="B22" s="17" t="s">
        <v>12</v>
      </c>
      <c r="D22" s="16">
        <f>TASKS!D22</f>
        <v>5000</v>
      </c>
      <c r="E22" s="17">
        <f t="shared" si="13"/>
        <v>1000</v>
      </c>
      <c r="F22" s="17">
        <f t="shared" si="9"/>
        <v>4000</v>
      </c>
      <c r="G22" s="16">
        <f>TASKS!F22</f>
        <v>0</v>
      </c>
      <c r="H22" s="17">
        <f t="shared" si="14"/>
        <v>0</v>
      </c>
      <c r="I22" s="17">
        <f t="shared" si="10"/>
        <v>0</v>
      </c>
      <c r="J22" s="16">
        <f>TASKS!H22</f>
        <v>0</v>
      </c>
      <c r="K22" s="17">
        <f t="shared" si="15"/>
        <v>0</v>
      </c>
      <c r="L22" s="17">
        <f t="shared" si="11"/>
        <v>0</v>
      </c>
      <c r="M22" s="16">
        <f t="shared" si="16"/>
        <v>5000</v>
      </c>
      <c r="N22" s="16">
        <f t="shared" si="12"/>
        <v>4000</v>
      </c>
      <c r="O22" s="16">
        <f t="shared" si="17"/>
        <v>1000</v>
      </c>
    </row>
    <row r="23" spans="1:15" x14ac:dyDescent="0.25">
      <c r="A23" s="19"/>
      <c r="B23" s="12" t="s">
        <v>13</v>
      </c>
      <c r="C23" s="12"/>
      <c r="D23" s="16">
        <f>TASKS!D23</f>
        <v>4100</v>
      </c>
      <c r="E23" s="17">
        <f t="shared" si="13"/>
        <v>820</v>
      </c>
      <c r="F23" s="17">
        <f t="shared" si="9"/>
        <v>3280</v>
      </c>
      <c r="G23" s="16">
        <f>TASKS!F23</f>
        <v>0</v>
      </c>
      <c r="H23" s="17">
        <f t="shared" si="14"/>
        <v>0</v>
      </c>
      <c r="I23" s="17">
        <f t="shared" si="10"/>
        <v>0</v>
      </c>
      <c r="J23" s="16">
        <f>TASKS!H23</f>
        <v>0</v>
      </c>
      <c r="K23" s="17">
        <f t="shared" si="15"/>
        <v>0</v>
      </c>
      <c r="L23" s="17">
        <f t="shared" si="11"/>
        <v>0</v>
      </c>
      <c r="M23" s="16">
        <f t="shared" si="16"/>
        <v>4100</v>
      </c>
      <c r="N23" s="16">
        <f t="shared" si="12"/>
        <v>3280</v>
      </c>
      <c r="O23" s="16">
        <f t="shared" si="17"/>
        <v>820</v>
      </c>
    </row>
    <row r="24" spans="1:15" x14ac:dyDescent="0.25">
      <c r="A24" s="19"/>
      <c r="B24" s="12" t="s">
        <v>14</v>
      </c>
      <c r="C24" s="12"/>
      <c r="D24" s="16">
        <f>TASKS!D24</f>
        <v>500</v>
      </c>
      <c r="E24" s="17">
        <f t="shared" si="13"/>
        <v>100</v>
      </c>
      <c r="F24" s="17">
        <f t="shared" si="9"/>
        <v>400</v>
      </c>
      <c r="G24" s="16">
        <f>TASKS!F24</f>
        <v>0</v>
      </c>
      <c r="H24" s="17">
        <f t="shared" si="14"/>
        <v>0</v>
      </c>
      <c r="I24" s="17">
        <f t="shared" si="10"/>
        <v>0</v>
      </c>
      <c r="J24" s="16">
        <f>TASKS!H24</f>
        <v>0</v>
      </c>
      <c r="K24" s="17">
        <f t="shared" si="15"/>
        <v>0</v>
      </c>
      <c r="L24" s="17">
        <f t="shared" si="11"/>
        <v>0</v>
      </c>
      <c r="M24" s="16">
        <f t="shared" si="16"/>
        <v>500</v>
      </c>
      <c r="N24" s="16">
        <f t="shared" si="12"/>
        <v>400</v>
      </c>
      <c r="O24" s="16">
        <f t="shared" si="17"/>
        <v>100</v>
      </c>
    </row>
    <row r="25" spans="1:15" x14ac:dyDescent="0.25">
      <c r="A25" s="19">
        <v>5</v>
      </c>
      <c r="B25" s="12" t="s">
        <v>15</v>
      </c>
      <c r="C25" s="12"/>
      <c r="D25" s="16">
        <f>TASKS!D25</f>
        <v>4863.78</v>
      </c>
      <c r="E25" s="17">
        <f t="shared" si="13"/>
        <v>972.76</v>
      </c>
      <c r="F25" s="17">
        <f>SUM(D25-E25)</f>
        <v>3891.0199999999995</v>
      </c>
      <c r="G25" s="16">
        <f>TASKS!F25</f>
        <v>0</v>
      </c>
      <c r="H25" s="17">
        <f t="shared" si="14"/>
        <v>0</v>
      </c>
      <c r="I25" s="17">
        <f t="shared" si="10"/>
        <v>0</v>
      </c>
      <c r="J25" s="16">
        <f>TASKS!H25</f>
        <v>0</v>
      </c>
      <c r="K25" s="17">
        <f t="shared" si="15"/>
        <v>0</v>
      </c>
      <c r="L25" s="17">
        <f t="shared" si="11"/>
        <v>0</v>
      </c>
      <c r="M25" s="16">
        <f t="shared" si="16"/>
        <v>4863.78</v>
      </c>
      <c r="N25" s="16">
        <f>SUM(M25*80%)+0.01</f>
        <v>3891.0340000000001</v>
      </c>
      <c r="O25" s="16">
        <f t="shared" si="17"/>
        <v>972.76</v>
      </c>
    </row>
    <row r="27" spans="1:15" x14ac:dyDescent="0.25">
      <c r="B27" s="20" t="s">
        <v>17</v>
      </c>
      <c r="C27" s="20"/>
      <c r="D27" s="16">
        <f>SUM(D8:D25)-D12-D13</f>
        <v>54757.53</v>
      </c>
      <c r="E27" s="17">
        <f>SUM(E8:E25)-E12</f>
        <v>10951.51</v>
      </c>
      <c r="F27" s="17">
        <f>SUM(F8:F25)-F12</f>
        <v>43806.02</v>
      </c>
      <c r="G27" s="16">
        <f>SUM(G8:G25)-G12-G13</f>
        <v>32104</v>
      </c>
      <c r="H27" s="17">
        <f>SUM(H8:H25)-H12-0.01</f>
        <v>6420.79</v>
      </c>
      <c r="I27" s="17">
        <f>SUM(I8:I25)-I12+0.01</f>
        <v>25683.21</v>
      </c>
      <c r="J27" s="16">
        <f>SUM(J8:J25)-J12-J13</f>
        <v>11139</v>
      </c>
      <c r="K27" s="17">
        <f>SUM(K8:K25)-K12</f>
        <v>2227.8000000000002</v>
      </c>
      <c r="L27" s="17">
        <f>SUM(L8:L25)-L12</f>
        <v>8911.2000000000007</v>
      </c>
      <c r="M27" s="16">
        <f>ROUND(SUM(M8:M25),2)</f>
        <v>98000.53</v>
      </c>
      <c r="N27" s="16">
        <f>SUM(N8:N25)</f>
        <v>78400.433999999994</v>
      </c>
      <c r="O27" s="16">
        <f>SUM(O8:O25)</f>
        <v>19600.109999999997</v>
      </c>
    </row>
    <row r="28" spans="1:15" x14ac:dyDescent="0.25">
      <c r="C28" s="31"/>
      <c r="D28" s="32"/>
      <c r="G28" s="32"/>
      <c r="J28" s="32"/>
    </row>
    <row r="29" spans="1:15" s="25" customFormat="1" x14ac:dyDescent="0.25">
      <c r="A29" s="24"/>
      <c r="C29" s="31"/>
      <c r="D29" s="33"/>
      <c r="G29" s="33"/>
      <c r="J29" s="33"/>
      <c r="M29" s="26"/>
      <c r="N29" s="26"/>
      <c r="O29" s="26"/>
    </row>
    <row r="30" spans="1:15" x14ac:dyDescent="0.25">
      <c r="C30" s="34"/>
      <c r="D30" s="32"/>
      <c r="G30" s="32"/>
      <c r="J30" s="32"/>
    </row>
    <row r="31" spans="1:15" x14ac:dyDescent="0.25">
      <c r="C31" s="31"/>
      <c r="D31" s="32"/>
      <c r="G31" s="32"/>
      <c r="J31" s="32"/>
    </row>
    <row r="32" spans="1:15" x14ac:dyDescent="0.25">
      <c r="C32" s="31"/>
      <c r="D32" s="32"/>
      <c r="G32" s="32"/>
      <c r="J32" s="32"/>
    </row>
    <row r="33" spans="3:10" x14ac:dyDescent="0.25">
      <c r="C33" s="31"/>
      <c r="D33" s="32"/>
      <c r="G33" s="32"/>
      <c r="J33" s="32"/>
    </row>
    <row r="34" spans="3:10" x14ac:dyDescent="0.25">
      <c r="C34" s="31"/>
      <c r="D34" s="32"/>
      <c r="G34" s="32"/>
      <c r="J34" s="32"/>
    </row>
    <row r="35" spans="3:10" x14ac:dyDescent="0.25">
      <c r="C35" s="31"/>
      <c r="D35" s="32"/>
      <c r="G35" s="32"/>
      <c r="J35" s="32"/>
    </row>
    <row r="36" spans="3:10" x14ac:dyDescent="0.25">
      <c r="C36" s="31"/>
      <c r="D36" s="32"/>
      <c r="G36" s="32"/>
      <c r="J36" s="32"/>
    </row>
    <row r="37" spans="3:10" x14ac:dyDescent="0.25">
      <c r="C37" s="31"/>
      <c r="D37" s="32"/>
      <c r="G37" s="32"/>
      <c r="J37" s="32"/>
    </row>
    <row r="38" spans="3:10" x14ac:dyDescent="0.25">
      <c r="C38" s="28"/>
      <c r="D38" s="29"/>
      <c r="G38" s="29"/>
      <c r="J38" s="29"/>
    </row>
  </sheetData>
  <phoneticPr fontId="0" type="noConversion"/>
  <pageMargins left="0.25" right="0.25" top="1.25" bottom="0.5" header="0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zoomScale="75" zoomScaleNormal="75" workbookViewId="0">
      <selection activeCell="K32" sqref="K32"/>
    </sheetView>
  </sheetViews>
  <sheetFormatPr defaultRowHeight="18" x14ac:dyDescent="0.25"/>
  <cols>
    <col min="1" max="1" width="2.85546875" style="11" bestFit="1" customWidth="1"/>
    <col min="2" max="2" width="51.7109375" style="17" customWidth="1"/>
    <col min="3" max="3" width="10.5703125" style="17" customWidth="1"/>
    <col min="4" max="4" width="14" style="16" bestFit="1" customWidth="1"/>
    <col min="5" max="5" width="20" style="17" customWidth="1"/>
    <col min="6" max="6" width="14" style="16" bestFit="1" customWidth="1"/>
    <col min="7" max="7" width="20" style="17" customWidth="1"/>
    <col min="8" max="8" width="14" style="16" bestFit="1" customWidth="1"/>
    <col min="9" max="9" width="20" style="17" customWidth="1"/>
    <col min="10" max="10" width="16.85546875" style="16" bestFit="1" customWidth="1"/>
    <col min="11" max="11" width="14" style="16" bestFit="1" customWidth="1"/>
    <col min="12" max="12" width="20" style="16" bestFit="1" customWidth="1"/>
    <col min="13" max="16384" width="9.140625" style="17"/>
  </cols>
  <sheetData>
    <row r="1" spans="1:13" s="12" customFormat="1" x14ac:dyDescent="0.25">
      <c r="A1" s="11"/>
      <c r="D1" s="13" t="s">
        <v>0</v>
      </c>
      <c r="E1" s="14" t="s">
        <v>0</v>
      </c>
      <c r="F1" s="13" t="s">
        <v>1</v>
      </c>
      <c r="G1" s="14" t="s">
        <v>1</v>
      </c>
      <c r="H1" s="13" t="s">
        <v>2</v>
      </c>
      <c r="I1" s="14" t="s">
        <v>2</v>
      </c>
      <c r="J1" s="13" t="s">
        <v>35</v>
      </c>
      <c r="K1" s="13" t="s">
        <v>33</v>
      </c>
      <c r="L1" s="13" t="s">
        <v>18</v>
      </c>
    </row>
    <row r="2" spans="1:13" s="12" customFormat="1" x14ac:dyDescent="0.25">
      <c r="A2" s="11"/>
      <c r="B2" s="12" t="s">
        <v>16</v>
      </c>
      <c r="C2" s="14" t="s">
        <v>46</v>
      </c>
      <c r="D2" s="13"/>
      <c r="E2" s="14" t="s">
        <v>18</v>
      </c>
      <c r="F2" s="13"/>
      <c r="G2" s="14" t="s">
        <v>18</v>
      </c>
      <c r="H2" s="15"/>
      <c r="I2" s="14" t="s">
        <v>18</v>
      </c>
      <c r="J2" s="13" t="s">
        <v>34</v>
      </c>
      <c r="K2" s="13" t="s">
        <v>34</v>
      </c>
      <c r="L2" s="13" t="s">
        <v>34</v>
      </c>
    </row>
    <row r="3" spans="1:13" s="12" customFormat="1" x14ac:dyDescent="0.25">
      <c r="A3" s="11"/>
      <c r="D3" s="16"/>
      <c r="E3" s="17"/>
      <c r="F3" s="16"/>
      <c r="G3" s="17"/>
      <c r="H3" s="16"/>
      <c r="I3" s="17"/>
      <c r="J3" s="18"/>
      <c r="K3" s="18"/>
      <c r="L3" s="18"/>
    </row>
    <row r="4" spans="1:13" s="12" customFormat="1" x14ac:dyDescent="0.25">
      <c r="A4" s="11"/>
      <c r="D4" s="16"/>
      <c r="E4" s="17"/>
      <c r="F4" s="16"/>
      <c r="G4" s="17"/>
      <c r="H4" s="16"/>
      <c r="I4" s="17"/>
      <c r="J4" s="18"/>
      <c r="K4" s="18"/>
      <c r="L4" s="18"/>
    </row>
    <row r="5" spans="1:13" x14ac:dyDescent="0.25">
      <c r="B5" s="12" t="s">
        <v>3</v>
      </c>
      <c r="C5" s="12"/>
    </row>
    <row r="7" spans="1:13" x14ac:dyDescent="0.25">
      <c r="A7" s="19">
        <v>1</v>
      </c>
      <c r="B7" s="12" t="s">
        <v>4</v>
      </c>
      <c r="C7" s="12"/>
    </row>
    <row r="8" spans="1:13" x14ac:dyDescent="0.25">
      <c r="A8" s="19"/>
      <c r="B8" s="17" t="s">
        <v>54</v>
      </c>
      <c r="C8" s="17">
        <f>ROUND(Salaries!K9,2)</f>
        <v>29.95</v>
      </c>
      <c r="D8" s="16">
        <f>ROUND(C8*'Hours-Task'!E8,2)</f>
        <v>22911.75</v>
      </c>
      <c r="E8" s="17">
        <f>SUM(D8*0.2)</f>
        <v>4582.3500000000004</v>
      </c>
      <c r="F8" s="16">
        <f>ROUND(C8*'Hours-Task'!G8,2)</f>
        <v>23960</v>
      </c>
      <c r="G8" s="17">
        <f>SUM(F8*0.2)</f>
        <v>4792</v>
      </c>
      <c r="H8" s="16">
        <f>ROUND(C8*'Hours-Task'!I8,2)</f>
        <v>2995</v>
      </c>
      <c r="I8" s="17">
        <f t="shared" ref="I8:I10" si="0">SUM(H8*0.2)</f>
        <v>599</v>
      </c>
      <c r="J8" s="39">
        <f>D8+F8+H8</f>
        <v>49866.75</v>
      </c>
      <c r="K8" s="39">
        <f t="shared" ref="K8:K25" si="1">SUM(J8*80%)</f>
        <v>39893.4</v>
      </c>
      <c r="L8" s="39">
        <f>E8+G8+I8</f>
        <v>9973.35</v>
      </c>
    </row>
    <row r="9" spans="1:13" x14ac:dyDescent="0.25">
      <c r="A9" s="19"/>
      <c r="B9" s="17" t="s">
        <v>50</v>
      </c>
      <c r="C9" s="17">
        <f>ROUND(Salaries!K5,2)</f>
        <v>44.06</v>
      </c>
      <c r="D9" s="16">
        <f>ROUND(C9*'Hours-Task'!E9,2)</f>
        <v>4406</v>
      </c>
      <c r="E9" s="17">
        <f>SUM(D9*0.2)</f>
        <v>881.2</v>
      </c>
      <c r="F9" s="16">
        <f>ROUND(C9*'Hours-Task'!G9,2)</f>
        <v>4406</v>
      </c>
      <c r="G9" s="17">
        <f>F9*0.2</f>
        <v>881.2</v>
      </c>
      <c r="H9" s="16">
        <f>ROUND(C9*'Hours-Task'!I9,2)</f>
        <v>4406</v>
      </c>
      <c r="I9" s="17">
        <f t="shared" si="0"/>
        <v>881.2</v>
      </c>
      <c r="J9" s="39">
        <f t="shared" ref="J9:J25" si="2">D9+F9+H9</f>
        <v>13218</v>
      </c>
      <c r="K9" s="39">
        <f>SUM(J9*80%)</f>
        <v>10574.400000000001</v>
      </c>
      <c r="L9" s="39">
        <f t="shared" ref="L9:L25" si="3">E9+G9+I9</f>
        <v>2643.6000000000004</v>
      </c>
    </row>
    <row r="10" spans="1:13" x14ac:dyDescent="0.25">
      <c r="A10" s="19"/>
      <c r="B10" s="17" t="s">
        <v>47</v>
      </c>
      <c r="C10" s="17">
        <f>ROUND(Salaries!K7,2)</f>
        <v>37.380000000000003</v>
      </c>
      <c r="D10" s="16">
        <f>ROUND(C10*'Hours-Task'!E10,2)</f>
        <v>7476</v>
      </c>
      <c r="E10" s="17">
        <f t="shared" ref="E10" si="4">SUM(D10*0.2)</f>
        <v>1495.2</v>
      </c>
      <c r="F10" s="16">
        <f>ROUND(C10*'Hours-Task'!G10,2)</f>
        <v>3738</v>
      </c>
      <c r="G10" s="17">
        <f t="shared" ref="G10" si="5">SUM(F10*0.2)</f>
        <v>747.6</v>
      </c>
      <c r="H10" s="16">
        <f>ROUND(C10*'Hours-Task'!I10,2)</f>
        <v>3738</v>
      </c>
      <c r="I10" s="17">
        <f t="shared" si="0"/>
        <v>747.6</v>
      </c>
      <c r="J10" s="39">
        <f t="shared" si="2"/>
        <v>14952</v>
      </c>
      <c r="K10" s="39">
        <f t="shared" si="1"/>
        <v>11961.6</v>
      </c>
      <c r="L10" s="39">
        <f t="shared" si="3"/>
        <v>2990.4</v>
      </c>
    </row>
    <row r="11" spans="1:13" x14ac:dyDescent="0.25">
      <c r="A11" s="19"/>
      <c r="J11" s="42"/>
      <c r="K11" s="42"/>
      <c r="L11" s="42"/>
    </row>
    <row r="12" spans="1:13" x14ac:dyDescent="0.25">
      <c r="A12" s="19">
        <v>2</v>
      </c>
      <c r="B12" s="12" t="s">
        <v>5</v>
      </c>
      <c r="C12" s="12"/>
      <c r="D12" s="16">
        <f>'Hours-Task'!D12</f>
        <v>1065</v>
      </c>
      <c r="F12" s="16">
        <f>'Hours-Task'!F12</f>
        <v>1000</v>
      </c>
      <c r="H12" s="16">
        <f>'Hours-Task'!H12</f>
        <v>300</v>
      </c>
      <c r="J12" s="42"/>
      <c r="K12" s="42"/>
      <c r="L12" s="42"/>
      <c r="M12" s="17" t="s">
        <v>16</v>
      </c>
    </row>
    <row r="13" spans="1:13" x14ac:dyDescent="0.25">
      <c r="A13" s="19">
        <v>3</v>
      </c>
      <c r="B13" s="12" t="s">
        <v>6</v>
      </c>
      <c r="C13" s="12"/>
      <c r="D13" s="16">
        <f>SUM(D8:D11)/D12</f>
        <v>32.670187793427232</v>
      </c>
      <c r="F13" s="16">
        <f>SUM(F8:F11)/F12</f>
        <v>32.103999999999999</v>
      </c>
      <c r="H13" s="16">
        <f>SUM(H8:H11)/H12</f>
        <v>37.130000000000003</v>
      </c>
      <c r="J13" s="42"/>
      <c r="K13" s="42"/>
      <c r="L13" s="42"/>
    </row>
    <row r="14" spans="1:13" x14ac:dyDescent="0.25">
      <c r="A14" s="19">
        <v>4</v>
      </c>
      <c r="B14" s="12" t="s">
        <v>7</v>
      </c>
      <c r="C14" s="12"/>
      <c r="J14" s="42"/>
      <c r="K14" s="42"/>
      <c r="L14" s="42"/>
    </row>
    <row r="15" spans="1:13" x14ac:dyDescent="0.25">
      <c r="A15" s="19"/>
      <c r="B15" s="17" t="s">
        <v>36</v>
      </c>
      <c r="J15" s="42">
        <f t="shared" si="2"/>
        <v>0</v>
      </c>
      <c r="K15" s="42">
        <f t="shared" si="1"/>
        <v>0</v>
      </c>
      <c r="L15" s="42">
        <f t="shared" si="3"/>
        <v>0</v>
      </c>
    </row>
    <row r="16" spans="1:13" x14ac:dyDescent="0.25">
      <c r="A16" s="19"/>
      <c r="B16" s="17" t="s">
        <v>19</v>
      </c>
      <c r="J16" s="42">
        <f t="shared" si="2"/>
        <v>0</v>
      </c>
      <c r="K16" s="42">
        <f t="shared" si="1"/>
        <v>0</v>
      </c>
      <c r="L16" s="42">
        <f t="shared" si="3"/>
        <v>0</v>
      </c>
    </row>
    <row r="17" spans="1:12" x14ac:dyDescent="0.25">
      <c r="A17" s="19"/>
      <c r="B17" s="17" t="s">
        <v>20</v>
      </c>
      <c r="J17" s="42">
        <f t="shared" si="2"/>
        <v>0</v>
      </c>
      <c r="K17" s="42">
        <f t="shared" si="1"/>
        <v>0</v>
      </c>
      <c r="L17" s="42">
        <f t="shared" si="3"/>
        <v>0</v>
      </c>
    </row>
    <row r="18" spans="1:12" x14ac:dyDescent="0.25">
      <c r="A18" s="19"/>
      <c r="B18" s="12" t="s">
        <v>8</v>
      </c>
      <c r="C18" s="12"/>
      <c r="J18" s="42"/>
      <c r="K18" s="42"/>
      <c r="L18" s="42"/>
    </row>
    <row r="19" spans="1:12" x14ac:dyDescent="0.25">
      <c r="A19" s="19"/>
      <c r="B19" s="17" t="s">
        <v>9</v>
      </c>
      <c r="D19" s="16">
        <f>'Hours-Task'!D19</f>
        <v>2500</v>
      </c>
      <c r="E19" s="17">
        <f t="shared" ref="E19:E25" si="6">SUM(D19*0.2)</f>
        <v>500</v>
      </c>
      <c r="F19" s="16">
        <f>'Hours-Task'!F19</f>
        <v>0</v>
      </c>
      <c r="G19" s="17">
        <f t="shared" ref="G19:G25" si="7">SUM(F19*0.2)</f>
        <v>0</v>
      </c>
      <c r="H19" s="16">
        <f>'Hours-Task'!H19</f>
        <v>0</v>
      </c>
      <c r="I19" s="17">
        <f t="shared" ref="I19:I25" si="8">SUM(H19*0.2)</f>
        <v>0</v>
      </c>
      <c r="J19" s="42">
        <f t="shared" si="2"/>
        <v>2500</v>
      </c>
      <c r="K19" s="42">
        <f t="shared" si="1"/>
        <v>2000</v>
      </c>
      <c r="L19" s="42">
        <f t="shared" si="3"/>
        <v>500</v>
      </c>
    </row>
    <row r="20" spans="1:12" x14ac:dyDescent="0.25">
      <c r="A20" s="19"/>
      <c r="B20" s="17" t="s">
        <v>10</v>
      </c>
      <c r="D20" s="16">
        <f>'Hours-Task'!D20</f>
        <v>1000</v>
      </c>
      <c r="E20" s="17">
        <f t="shared" si="6"/>
        <v>200</v>
      </c>
      <c r="F20" s="16">
        <f>'Hours-Task'!F20</f>
        <v>0</v>
      </c>
      <c r="G20" s="17">
        <f t="shared" si="7"/>
        <v>0</v>
      </c>
      <c r="H20" s="16">
        <f>'Hours-Task'!H20</f>
        <v>0</v>
      </c>
      <c r="I20" s="17">
        <f t="shared" si="8"/>
        <v>0</v>
      </c>
      <c r="J20" s="42">
        <f t="shared" si="2"/>
        <v>1000</v>
      </c>
      <c r="K20" s="42">
        <f t="shared" si="1"/>
        <v>800</v>
      </c>
      <c r="L20" s="42">
        <f t="shared" si="3"/>
        <v>200</v>
      </c>
    </row>
    <row r="21" spans="1:12" x14ac:dyDescent="0.25">
      <c r="A21" s="19"/>
      <c r="B21" s="17" t="s">
        <v>11</v>
      </c>
      <c r="D21" s="16">
        <f>'Hours-Task'!D21</f>
        <v>2000</v>
      </c>
      <c r="E21" s="17">
        <f t="shared" si="6"/>
        <v>400</v>
      </c>
      <c r="F21" s="16">
        <f>'Hours-Task'!F21</f>
        <v>0</v>
      </c>
      <c r="G21" s="17">
        <f t="shared" si="7"/>
        <v>0</v>
      </c>
      <c r="H21" s="16">
        <f>'Hours-Task'!H21</f>
        <v>0</v>
      </c>
      <c r="I21" s="17">
        <f t="shared" si="8"/>
        <v>0</v>
      </c>
      <c r="J21" s="42">
        <f t="shared" si="2"/>
        <v>2000</v>
      </c>
      <c r="K21" s="42">
        <f t="shared" si="1"/>
        <v>1600</v>
      </c>
      <c r="L21" s="42">
        <f t="shared" si="3"/>
        <v>400</v>
      </c>
    </row>
    <row r="22" spans="1:12" x14ac:dyDescent="0.25">
      <c r="A22" s="19"/>
      <c r="B22" s="17" t="s">
        <v>12</v>
      </c>
      <c r="D22" s="16">
        <f>'Hours-Task'!D22</f>
        <v>5000</v>
      </c>
      <c r="E22" s="17">
        <f t="shared" si="6"/>
        <v>1000</v>
      </c>
      <c r="F22" s="16">
        <f>'Hours-Task'!F22</f>
        <v>0</v>
      </c>
      <c r="G22" s="17">
        <f>SUM(F22*0.2)</f>
        <v>0</v>
      </c>
      <c r="H22" s="16">
        <f>'Hours-Task'!H22</f>
        <v>0</v>
      </c>
      <c r="I22" s="17">
        <f t="shared" si="8"/>
        <v>0</v>
      </c>
      <c r="J22" s="42">
        <f t="shared" si="2"/>
        <v>5000</v>
      </c>
      <c r="K22" s="42">
        <f t="shared" si="1"/>
        <v>4000</v>
      </c>
      <c r="L22" s="42">
        <f t="shared" si="3"/>
        <v>1000</v>
      </c>
    </row>
    <row r="23" spans="1:12" x14ac:dyDescent="0.25">
      <c r="A23" s="19"/>
      <c r="B23" s="12" t="s">
        <v>13</v>
      </c>
      <c r="C23" s="12"/>
      <c r="D23" s="16">
        <f>'Hours-Task'!D23</f>
        <v>4100</v>
      </c>
      <c r="E23" s="17">
        <f t="shared" si="6"/>
        <v>820</v>
      </c>
      <c r="F23" s="16">
        <f>'Hours-Task'!F23</f>
        <v>0</v>
      </c>
      <c r="G23" s="17">
        <f t="shared" si="7"/>
        <v>0</v>
      </c>
      <c r="H23" s="16">
        <f>'Hours-Task'!H23</f>
        <v>0</v>
      </c>
      <c r="I23" s="17">
        <f t="shared" si="8"/>
        <v>0</v>
      </c>
      <c r="J23" s="42">
        <f t="shared" si="2"/>
        <v>4100</v>
      </c>
      <c r="K23" s="42">
        <f t="shared" si="1"/>
        <v>3280</v>
      </c>
      <c r="L23" s="42">
        <f t="shared" si="3"/>
        <v>820</v>
      </c>
    </row>
    <row r="24" spans="1:12" x14ac:dyDescent="0.25">
      <c r="A24" s="19"/>
      <c r="B24" s="12" t="s">
        <v>14</v>
      </c>
      <c r="C24" s="12"/>
      <c r="D24" s="16">
        <f>'Hours-Task'!D24</f>
        <v>500</v>
      </c>
      <c r="E24" s="17">
        <f t="shared" si="6"/>
        <v>100</v>
      </c>
      <c r="F24" s="16">
        <f>'Hours-Task'!F24</f>
        <v>0</v>
      </c>
      <c r="G24" s="17">
        <f t="shared" si="7"/>
        <v>0</v>
      </c>
      <c r="H24" s="16">
        <f>'Hours-Task'!H24</f>
        <v>0</v>
      </c>
      <c r="I24" s="17">
        <f t="shared" si="8"/>
        <v>0</v>
      </c>
      <c r="J24" s="42">
        <f t="shared" si="2"/>
        <v>500</v>
      </c>
      <c r="K24" s="42">
        <f t="shared" si="1"/>
        <v>400</v>
      </c>
      <c r="L24" s="42">
        <f t="shared" si="3"/>
        <v>100</v>
      </c>
    </row>
    <row r="25" spans="1:12" x14ac:dyDescent="0.25">
      <c r="A25" s="19">
        <v>5</v>
      </c>
      <c r="B25" s="12" t="s">
        <v>15</v>
      </c>
      <c r="C25" s="12"/>
      <c r="D25" s="16">
        <f>'Hours-Task'!D25</f>
        <v>4863.78</v>
      </c>
      <c r="E25" s="17">
        <f t="shared" si="6"/>
        <v>972.75599999999997</v>
      </c>
      <c r="F25" s="16">
        <f>'Hours-Task'!F25</f>
        <v>0</v>
      </c>
      <c r="G25" s="17">
        <f t="shared" si="7"/>
        <v>0</v>
      </c>
      <c r="H25" s="16">
        <f>'Hours-Task'!H25</f>
        <v>0</v>
      </c>
      <c r="I25" s="17">
        <f t="shared" si="8"/>
        <v>0</v>
      </c>
      <c r="J25" s="42">
        <f t="shared" si="2"/>
        <v>4863.78</v>
      </c>
      <c r="K25" s="42">
        <f t="shared" si="1"/>
        <v>3891.0239999999999</v>
      </c>
      <c r="L25" s="42">
        <f t="shared" si="3"/>
        <v>972.75599999999997</v>
      </c>
    </row>
    <row r="27" spans="1:12" x14ac:dyDescent="0.25">
      <c r="B27" s="20" t="s">
        <v>17</v>
      </c>
      <c r="C27" s="20"/>
      <c r="D27" s="16">
        <f>SUM(D8:D25)-D12-D13</f>
        <v>54757.53</v>
      </c>
      <c r="E27" s="17">
        <f>SUM(E8:E25)-E12</f>
        <v>10951.505999999999</v>
      </c>
      <c r="F27" s="16">
        <f>SUM(F8:F25)-F12-F13</f>
        <v>32104</v>
      </c>
      <c r="G27" s="17">
        <f>SUM(G8:G25)-G12-0.01</f>
        <v>6420.79</v>
      </c>
      <c r="H27" s="16">
        <f>SUM(H8:H25)-H12-H13</f>
        <v>11139</v>
      </c>
      <c r="I27" s="17">
        <f>SUM(I8:I25)-I12</f>
        <v>2227.8000000000002</v>
      </c>
      <c r="J27" s="16">
        <f>SUM(J8:J25)</f>
        <v>98000.53</v>
      </c>
      <c r="K27" s="16">
        <f>SUM(K8:K25)+0.01</f>
        <v>78400.433999999994</v>
      </c>
      <c r="L27" s="16">
        <f>SUM(L8:L25)</f>
        <v>19600.106</v>
      </c>
    </row>
    <row r="28" spans="1:12" x14ac:dyDescent="0.25">
      <c r="C28" s="31"/>
      <c r="D28" s="32"/>
      <c r="F28" s="32"/>
      <c r="H28" s="32"/>
    </row>
    <row r="29" spans="1:12" x14ac:dyDescent="0.25">
      <c r="C29" s="31"/>
      <c r="D29" s="33"/>
      <c r="E29" s="25"/>
      <c r="F29" s="33"/>
      <c r="G29" s="25"/>
      <c r="H29" s="33"/>
      <c r="I29" s="25"/>
    </row>
    <row r="30" spans="1:12" x14ac:dyDescent="0.25">
      <c r="C30" s="34"/>
      <c r="D30" s="32"/>
      <c r="F30" s="32"/>
      <c r="H30" s="32"/>
    </row>
    <row r="31" spans="1:12" x14ac:dyDescent="0.25">
      <c r="C31" s="31"/>
      <c r="D31" s="32"/>
      <c r="F31" s="32"/>
      <c r="H31" s="32"/>
    </row>
    <row r="32" spans="1:12" x14ac:dyDescent="0.25">
      <c r="C32" s="31"/>
      <c r="D32" s="32"/>
      <c r="F32" s="32"/>
      <c r="H32" s="32"/>
    </row>
    <row r="33" spans="3:8" x14ac:dyDescent="0.25">
      <c r="C33" s="31"/>
      <c r="D33" s="32"/>
      <c r="F33" s="32"/>
      <c r="H33" s="32"/>
    </row>
    <row r="34" spans="3:8" x14ac:dyDescent="0.25">
      <c r="C34" s="31"/>
      <c r="D34" s="32"/>
      <c r="F34" s="32"/>
      <c r="H34" s="32"/>
    </row>
    <row r="35" spans="3:8" x14ac:dyDescent="0.25">
      <c r="C35" s="31"/>
      <c r="D35" s="32"/>
      <c r="F35" s="32"/>
      <c r="H35" s="32"/>
    </row>
    <row r="36" spans="3:8" x14ac:dyDescent="0.25">
      <c r="C36" s="31"/>
      <c r="D36" s="32"/>
      <c r="F36" s="32"/>
      <c r="H36" s="32"/>
    </row>
    <row r="37" spans="3:8" x14ac:dyDescent="0.25">
      <c r="C37" s="31"/>
      <c r="D37" s="32"/>
      <c r="F37" s="32"/>
      <c r="H37" s="32"/>
    </row>
    <row r="38" spans="3:8" x14ac:dyDescent="0.25">
      <c r="C38" s="28"/>
      <c r="D38" s="29"/>
      <c r="F38" s="29"/>
      <c r="H38" s="29"/>
    </row>
  </sheetData>
  <phoneticPr fontId="0" type="noConversion"/>
  <pageMargins left="0" right="0" top="1.25" bottom="0.5" header="0.5" footer="0.5"/>
  <pageSetup paperSize="5" scale="47" orientation="landscape" r:id="rId1"/>
  <headerFooter alignWithMargins="0">
    <oddHeader xml:space="preserve">&amp;C&amp;14Missouri Department of Transportation Planning Proposal 
FY '18 - '19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1"/>
  <sheetViews>
    <sheetView tabSelected="1" zoomScale="89" zoomScaleNormal="8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7" activeCellId="2" sqref="D27 F27 H27"/>
    </sheetView>
  </sheetViews>
  <sheetFormatPr defaultRowHeight="18" x14ac:dyDescent="0.25"/>
  <cols>
    <col min="1" max="1" width="7.5703125" style="11" bestFit="1" customWidth="1"/>
    <col min="2" max="2" width="51.7109375" style="17" bestFit="1" customWidth="1"/>
    <col min="3" max="3" width="10.5703125" style="17" customWidth="1"/>
    <col min="4" max="4" width="14" style="16" bestFit="1" customWidth="1"/>
    <col min="5" max="5" width="14.7109375" style="22" customWidth="1"/>
    <col min="6" max="6" width="14" style="16" customWidth="1"/>
    <col min="7" max="7" width="14.85546875" style="22" customWidth="1"/>
    <col min="8" max="8" width="14" style="16" bestFit="1" customWidth="1"/>
    <col min="9" max="9" width="14.7109375" style="22" customWidth="1"/>
    <col min="10" max="10" width="16.85546875" style="16" bestFit="1" customWidth="1"/>
    <col min="11" max="11" width="15.5703125" style="16" bestFit="1" customWidth="1"/>
    <col min="12" max="13" width="9.140625" style="17"/>
    <col min="14" max="14" width="14" style="17" bestFit="1" customWidth="1"/>
    <col min="15" max="15" width="9.140625" style="17"/>
    <col min="16" max="16" width="14" style="17" bestFit="1" customWidth="1"/>
    <col min="17" max="16384" width="9.140625" style="17"/>
  </cols>
  <sheetData>
    <row r="1" spans="1:11" s="12" customFormat="1" x14ac:dyDescent="0.25">
      <c r="A1" s="11"/>
      <c r="D1" s="13" t="s">
        <v>0</v>
      </c>
      <c r="E1" s="21" t="s">
        <v>0</v>
      </c>
      <c r="F1" s="13" t="s">
        <v>1</v>
      </c>
      <c r="G1" s="21" t="s">
        <v>1</v>
      </c>
      <c r="H1" s="13" t="s">
        <v>2</v>
      </c>
      <c r="I1" s="21" t="s">
        <v>2</v>
      </c>
      <c r="J1" s="13" t="s">
        <v>35</v>
      </c>
      <c r="K1" s="13" t="s">
        <v>33</v>
      </c>
    </row>
    <row r="2" spans="1:11" s="12" customFormat="1" x14ac:dyDescent="0.25">
      <c r="A2" s="11"/>
      <c r="B2" s="12" t="s">
        <v>16</v>
      </c>
      <c r="C2" s="14" t="s">
        <v>46</v>
      </c>
      <c r="D2" s="13"/>
      <c r="E2" s="21" t="s">
        <v>37</v>
      </c>
      <c r="F2" s="13"/>
      <c r="G2" s="21" t="s">
        <v>37</v>
      </c>
      <c r="H2" s="15"/>
      <c r="I2" s="21" t="s">
        <v>37</v>
      </c>
      <c r="J2" s="13" t="s">
        <v>34</v>
      </c>
      <c r="K2" s="13" t="s">
        <v>34</v>
      </c>
    </row>
    <row r="3" spans="1:11" s="12" customFormat="1" x14ac:dyDescent="0.25">
      <c r="A3" s="11"/>
      <c r="D3" s="16"/>
      <c r="E3" s="22"/>
      <c r="F3" s="16"/>
      <c r="G3" s="22"/>
      <c r="H3" s="16"/>
      <c r="I3" s="22"/>
      <c r="J3" s="18"/>
      <c r="K3" s="18"/>
    </row>
    <row r="4" spans="1:11" s="12" customFormat="1" x14ac:dyDescent="0.25">
      <c r="A4" s="11"/>
      <c r="D4" s="16"/>
      <c r="E4" s="22"/>
      <c r="F4" s="16"/>
      <c r="G4" s="22"/>
      <c r="H4" s="16"/>
      <c r="I4" s="22"/>
      <c r="J4" s="18"/>
      <c r="K4" s="18"/>
    </row>
    <row r="5" spans="1:11" x14ac:dyDescent="0.25">
      <c r="B5" s="12" t="s">
        <v>3</v>
      </c>
      <c r="C5" s="12"/>
    </row>
    <row r="7" spans="1:11" x14ac:dyDescent="0.25">
      <c r="A7" s="19">
        <v>1</v>
      </c>
      <c r="B7" s="12" t="s">
        <v>4</v>
      </c>
      <c r="C7" s="12"/>
    </row>
    <row r="8" spans="1:11" x14ac:dyDescent="0.25">
      <c r="A8" s="19"/>
      <c r="B8" s="17" t="s">
        <v>52</v>
      </c>
      <c r="C8" s="17">
        <v>29.95</v>
      </c>
      <c r="D8" s="16">
        <f>ROUND(SUM(C8*E8),2)</f>
        <v>22911.75</v>
      </c>
      <c r="E8" s="22">
        <v>765</v>
      </c>
      <c r="F8" s="16">
        <f t="shared" ref="F8:F10" si="0">ROUND(SUM(G8*C8),2)</f>
        <v>23960</v>
      </c>
      <c r="G8" s="22">
        <v>800</v>
      </c>
      <c r="H8" s="16">
        <f t="shared" ref="H8:H10" si="1">ROUND(SUM(I8*C8),2)</f>
        <v>2995</v>
      </c>
      <c r="I8" s="22">
        <v>100</v>
      </c>
      <c r="J8" s="16">
        <f>D8+F8+H8</f>
        <v>49866.75</v>
      </c>
      <c r="K8" s="16">
        <f>ROUND(SUM(J8*80%),2)</f>
        <v>39893.4</v>
      </c>
    </row>
    <row r="9" spans="1:11" x14ac:dyDescent="0.25">
      <c r="A9" s="19"/>
      <c r="B9" s="17" t="s">
        <v>50</v>
      </c>
      <c r="C9" s="17">
        <v>44.06</v>
      </c>
      <c r="D9" s="16">
        <f t="shared" ref="D9:D10" si="2">ROUND(SUM(C9*E9),2)</f>
        <v>4406</v>
      </c>
      <c r="E9" s="22">
        <v>100</v>
      </c>
      <c r="F9" s="16">
        <f t="shared" si="0"/>
        <v>4406</v>
      </c>
      <c r="G9" s="22">
        <v>100</v>
      </c>
      <c r="H9" s="16">
        <f t="shared" si="1"/>
        <v>4406</v>
      </c>
      <c r="I9" s="22">
        <v>100</v>
      </c>
      <c r="J9" s="16">
        <f t="shared" ref="J9:J10" si="3">D9+F9+H9</f>
        <v>13218</v>
      </c>
      <c r="K9" s="16">
        <f>ROUND(SUM(J9*80%),2)</f>
        <v>10574.4</v>
      </c>
    </row>
    <row r="10" spans="1:11" x14ac:dyDescent="0.25">
      <c r="A10" s="19"/>
      <c r="B10" s="17" t="s">
        <v>47</v>
      </c>
      <c r="C10" s="17">
        <v>37.380000000000003</v>
      </c>
      <c r="D10" s="16">
        <f t="shared" si="2"/>
        <v>7476</v>
      </c>
      <c r="E10" s="22">
        <v>200</v>
      </c>
      <c r="F10" s="16">
        <f t="shared" si="0"/>
        <v>3738</v>
      </c>
      <c r="G10" s="22">
        <v>100</v>
      </c>
      <c r="H10" s="16">
        <f t="shared" si="1"/>
        <v>3738</v>
      </c>
      <c r="I10" s="22">
        <v>100</v>
      </c>
      <c r="J10" s="16">
        <f t="shared" si="3"/>
        <v>14952</v>
      </c>
      <c r="K10" s="16">
        <f>ROUND(SUM(J10*80%),2)</f>
        <v>11961.6</v>
      </c>
    </row>
    <row r="11" spans="1:11" x14ac:dyDescent="0.25">
      <c r="A11" s="19"/>
    </row>
    <row r="12" spans="1:11" x14ac:dyDescent="0.25">
      <c r="A12" s="19">
        <v>2</v>
      </c>
      <c r="B12" s="12" t="s">
        <v>5</v>
      </c>
      <c r="C12" s="12"/>
      <c r="D12" s="16">
        <f>SUM(E8:E11)</f>
        <v>1065</v>
      </c>
      <c r="E12" s="43">
        <f>D12/(D12+H12+F12)</f>
        <v>0.45031712473572938</v>
      </c>
      <c r="F12" s="16">
        <f>SUM(G8:G10)</f>
        <v>1000</v>
      </c>
      <c r="G12" s="43">
        <f>F12/(D12+F12+H12)</f>
        <v>0.42283298097251587</v>
      </c>
      <c r="H12" s="16">
        <f>SUM(I8:I11)</f>
        <v>300</v>
      </c>
      <c r="I12" s="43">
        <f>H12/(D12+F12+H12)</f>
        <v>0.12684989429175475</v>
      </c>
    </row>
    <row r="13" spans="1:11" x14ac:dyDescent="0.25">
      <c r="A13" s="19">
        <v>3</v>
      </c>
      <c r="B13" s="12" t="s">
        <v>6</v>
      </c>
      <c r="C13" s="12"/>
      <c r="D13" s="16">
        <f>SUM(D8:D11)/D12</f>
        <v>32.670187793427232</v>
      </c>
      <c r="F13" s="16">
        <f>SUM(F8:F11)/F12</f>
        <v>32.103999999999999</v>
      </c>
      <c r="H13" s="16">
        <f>SUM(H8:H11)/H12</f>
        <v>37.130000000000003</v>
      </c>
    </row>
    <row r="14" spans="1:11" x14ac:dyDescent="0.25">
      <c r="A14" s="19">
        <v>4</v>
      </c>
      <c r="B14" s="12" t="s">
        <v>7</v>
      </c>
      <c r="C14" s="12"/>
    </row>
    <row r="15" spans="1:11" x14ac:dyDescent="0.25">
      <c r="A15" s="19"/>
      <c r="B15" s="17" t="s">
        <v>36</v>
      </c>
      <c r="J15" s="16">
        <f>D15+F15+H15</f>
        <v>0</v>
      </c>
      <c r="K15" s="16">
        <f>SUM(J15*80%)</f>
        <v>0</v>
      </c>
    </row>
    <row r="16" spans="1:11" x14ac:dyDescent="0.25">
      <c r="A16" s="19"/>
      <c r="B16" s="17" t="s">
        <v>19</v>
      </c>
      <c r="J16" s="16">
        <f>D16+F16+H16</f>
        <v>0</v>
      </c>
      <c r="K16" s="16">
        <f>SUM(J16*80%)</f>
        <v>0</v>
      </c>
    </row>
    <row r="17" spans="1:12" x14ac:dyDescent="0.25">
      <c r="A17" s="19"/>
      <c r="B17" s="17" t="s">
        <v>20</v>
      </c>
      <c r="J17" s="16">
        <f>D17+F17+H17</f>
        <v>0</v>
      </c>
      <c r="K17" s="16">
        <f>SUM(J17*80%)</f>
        <v>0</v>
      </c>
    </row>
    <row r="18" spans="1:12" x14ac:dyDescent="0.25">
      <c r="A18" s="19"/>
      <c r="B18" s="12" t="s">
        <v>8</v>
      </c>
      <c r="C18" s="12"/>
    </row>
    <row r="19" spans="1:12" x14ac:dyDescent="0.25">
      <c r="A19" s="19"/>
      <c r="B19" s="17" t="s">
        <v>9</v>
      </c>
      <c r="D19" s="16">
        <v>2500</v>
      </c>
      <c r="F19" s="16">
        <v>0</v>
      </c>
      <c r="H19" s="16">
        <v>0</v>
      </c>
      <c r="J19" s="16">
        <f>D19+F19+H19</f>
        <v>2500</v>
      </c>
      <c r="K19" s="16">
        <f t="shared" ref="K19:K24" si="4">SUM(J19*80%)</f>
        <v>2000</v>
      </c>
    </row>
    <row r="20" spans="1:12" x14ac:dyDescent="0.25">
      <c r="A20" s="19"/>
      <c r="B20" s="17" t="s">
        <v>10</v>
      </c>
      <c r="D20" s="16">
        <v>1000</v>
      </c>
      <c r="F20" s="16">
        <v>0</v>
      </c>
      <c r="H20" s="16">
        <v>0</v>
      </c>
      <c r="J20" s="16">
        <f t="shared" ref="J20:J24" si="5">D20+F20+H20</f>
        <v>1000</v>
      </c>
      <c r="K20" s="16">
        <f t="shared" si="4"/>
        <v>800</v>
      </c>
    </row>
    <row r="21" spans="1:12" x14ac:dyDescent="0.25">
      <c r="A21" s="19"/>
      <c r="B21" s="17" t="s">
        <v>11</v>
      </c>
      <c r="D21" s="16">
        <v>2000</v>
      </c>
      <c r="F21" s="16">
        <v>0</v>
      </c>
      <c r="H21" s="16">
        <v>0</v>
      </c>
      <c r="J21" s="16">
        <f t="shared" si="5"/>
        <v>2000</v>
      </c>
      <c r="K21" s="16">
        <f t="shared" si="4"/>
        <v>1600</v>
      </c>
    </row>
    <row r="22" spans="1:12" x14ac:dyDescent="0.25">
      <c r="A22" s="19"/>
      <c r="B22" s="17" t="s">
        <v>12</v>
      </c>
      <c r="D22" s="16">
        <f>5000</f>
        <v>5000</v>
      </c>
      <c r="F22" s="16">
        <v>0</v>
      </c>
      <c r="H22" s="16">
        <v>0</v>
      </c>
      <c r="J22" s="16">
        <f t="shared" si="5"/>
        <v>5000</v>
      </c>
      <c r="K22" s="16">
        <f t="shared" si="4"/>
        <v>4000</v>
      </c>
    </row>
    <row r="23" spans="1:12" x14ac:dyDescent="0.25">
      <c r="A23" s="19"/>
      <c r="B23" s="12" t="s">
        <v>13</v>
      </c>
      <c r="C23" s="12"/>
      <c r="D23" s="16">
        <f>4100</f>
        <v>4100</v>
      </c>
      <c r="F23" s="16">
        <v>0</v>
      </c>
      <c r="H23" s="16">
        <v>0</v>
      </c>
      <c r="J23" s="16">
        <f t="shared" si="5"/>
        <v>4100</v>
      </c>
      <c r="K23" s="16">
        <f t="shared" si="4"/>
        <v>3280</v>
      </c>
    </row>
    <row r="24" spans="1:12" x14ac:dyDescent="0.25">
      <c r="A24" s="19"/>
      <c r="B24" s="12" t="s">
        <v>14</v>
      </c>
      <c r="C24" s="12"/>
      <c r="D24" s="16">
        <v>500</v>
      </c>
      <c r="F24" s="16">
        <v>0</v>
      </c>
      <c r="H24" s="16">
        <v>0</v>
      </c>
      <c r="J24" s="16">
        <f t="shared" si="5"/>
        <v>500</v>
      </c>
      <c r="K24" s="16">
        <f t="shared" si="4"/>
        <v>400</v>
      </c>
    </row>
    <row r="25" spans="1:12" x14ac:dyDescent="0.25">
      <c r="A25" s="19">
        <v>5</v>
      </c>
      <c r="B25" s="12" t="s">
        <v>15</v>
      </c>
      <c r="C25" s="12"/>
      <c r="D25" s="16">
        <f>5000-136.22</f>
        <v>4863.78</v>
      </c>
      <c r="F25" s="16">
        <v>0</v>
      </c>
      <c r="H25" s="16">
        <v>0</v>
      </c>
      <c r="J25" s="16">
        <f>D25+F25+H25</f>
        <v>4863.78</v>
      </c>
      <c r="K25" s="16">
        <f>ROUND(SUM(J25*80%),2)+0.01</f>
        <v>3891.03</v>
      </c>
    </row>
    <row r="27" spans="1:12" x14ac:dyDescent="0.25">
      <c r="B27" s="20" t="s">
        <v>17</v>
      </c>
      <c r="C27" s="20"/>
      <c r="D27" s="16">
        <f>SUM(D8:D25)-D12-D13</f>
        <v>54757.53</v>
      </c>
      <c r="E27" s="43">
        <f>D27/J27</f>
        <v>0.55874728432591125</v>
      </c>
      <c r="F27" s="16">
        <f>SUM(F8:F25)-F12-F13</f>
        <v>32104</v>
      </c>
      <c r="G27" s="43">
        <f>F27/J27</f>
        <v>0.32759006507413785</v>
      </c>
      <c r="H27" s="16">
        <f>SUM(H8:H25)-H12-H13</f>
        <v>11139</v>
      </c>
      <c r="I27" s="43">
        <f>H27/J27</f>
        <v>0.11366265059995084</v>
      </c>
      <c r="J27" s="16">
        <f>SUM(J8:J25)</f>
        <v>98000.53</v>
      </c>
      <c r="K27" s="16">
        <f>SUM(K8:K25)</f>
        <v>78400.429999999993</v>
      </c>
    </row>
    <row r="28" spans="1:12" x14ac:dyDescent="0.25">
      <c r="A28" s="30"/>
      <c r="B28" s="31"/>
      <c r="D28" s="17"/>
      <c r="E28" s="17"/>
      <c r="F28" s="17"/>
      <c r="G28" s="17"/>
      <c r="H28" s="17"/>
      <c r="I28" s="17"/>
      <c r="J28" s="17"/>
      <c r="K28" s="17"/>
    </row>
    <row r="29" spans="1:12" x14ac:dyDescent="0.25">
      <c r="A29" s="30"/>
      <c r="B29" s="31"/>
      <c r="D29" s="17">
        <f>ROUND(0.8*D27,2)</f>
        <v>43806.02</v>
      </c>
      <c r="E29" s="43"/>
      <c r="F29" s="17">
        <f>0.8*F27</f>
        <v>25683.200000000001</v>
      </c>
      <c r="G29" s="17"/>
      <c r="H29" s="17">
        <f>0.8*H27</f>
        <v>8911.2000000000007</v>
      </c>
      <c r="I29" s="17"/>
      <c r="J29" s="17"/>
      <c r="K29" s="17"/>
    </row>
    <row r="30" spans="1:12" x14ac:dyDescent="0.25">
      <c r="A30" s="30"/>
      <c r="B30" s="34" t="s">
        <v>40</v>
      </c>
      <c r="D30" s="17">
        <f>ROUND(0.2*D27,2)</f>
        <v>10951.51</v>
      </c>
      <c r="E30" s="17"/>
      <c r="F30" s="17">
        <f>0.2*F27</f>
        <v>6420.8</v>
      </c>
      <c r="G30" s="17"/>
      <c r="H30" s="17">
        <f>0.2*H27</f>
        <v>2227.8000000000002</v>
      </c>
      <c r="I30" s="17"/>
      <c r="J30" s="17"/>
      <c r="K30" s="17"/>
    </row>
    <row r="31" spans="1:12" x14ac:dyDescent="0.25">
      <c r="A31" s="30"/>
      <c r="B31" s="31" t="s">
        <v>53</v>
      </c>
      <c r="D31" s="36"/>
      <c r="F31" s="36"/>
      <c r="H31" s="36"/>
      <c r="J31" s="36"/>
      <c r="K31" s="36"/>
      <c r="L31" s="27"/>
    </row>
    <row r="32" spans="1:12" x14ac:dyDescent="0.25">
      <c r="A32" s="30"/>
      <c r="B32" s="31" t="s">
        <v>51</v>
      </c>
      <c r="D32" s="36"/>
      <c r="F32" s="36"/>
      <c r="H32" s="36"/>
      <c r="J32" s="36"/>
      <c r="K32" s="36"/>
      <c r="L32" s="27"/>
    </row>
    <row r="33" spans="1:12" x14ac:dyDescent="0.25">
      <c r="A33" s="30"/>
      <c r="B33" s="31" t="s">
        <v>43</v>
      </c>
      <c r="D33" s="36"/>
      <c r="F33" s="36"/>
      <c r="H33" s="36"/>
      <c r="J33" s="36"/>
      <c r="K33" s="36"/>
      <c r="L33" s="27"/>
    </row>
    <row r="34" spans="1:12" x14ac:dyDescent="0.25">
      <c r="A34" s="30"/>
      <c r="B34" s="31"/>
      <c r="D34" s="36"/>
      <c r="F34" s="36"/>
      <c r="H34" s="36"/>
      <c r="J34" s="36"/>
      <c r="K34" s="36"/>
      <c r="L34" s="27"/>
    </row>
    <row r="35" spans="1:12" x14ac:dyDescent="0.25">
      <c r="A35" s="30"/>
      <c r="B35" s="31"/>
      <c r="D35" s="36"/>
      <c r="F35" s="36"/>
      <c r="H35" s="36"/>
      <c r="J35" s="36"/>
      <c r="K35" s="36"/>
      <c r="L35" s="27"/>
    </row>
    <row r="36" spans="1:12" s="47" customFormat="1" x14ac:dyDescent="0.25">
      <c r="A36" s="30"/>
      <c r="B36" s="31"/>
      <c r="C36" s="17"/>
      <c r="D36" s="36"/>
      <c r="E36" s="22"/>
      <c r="F36" s="36"/>
      <c r="G36" s="22"/>
      <c r="H36" s="36"/>
      <c r="I36" s="22"/>
      <c r="J36" s="36"/>
      <c r="K36" s="36"/>
      <c r="L36" s="46"/>
    </row>
    <row r="37" spans="1:12" x14ac:dyDescent="0.25">
      <c r="D37" s="17"/>
      <c r="F37" s="17"/>
      <c r="H37" s="17"/>
      <c r="J37" s="17"/>
      <c r="K37" s="17"/>
    </row>
    <row r="38" spans="1:12" x14ac:dyDescent="0.25">
      <c r="D38" s="17"/>
      <c r="F38" s="17"/>
      <c r="H38" s="17"/>
      <c r="J38" s="17"/>
      <c r="K38" s="17"/>
    </row>
    <row r="39" spans="1:12" x14ac:dyDescent="0.25">
      <c r="D39" s="17"/>
      <c r="F39" s="17"/>
      <c r="H39" s="17"/>
      <c r="J39" s="17"/>
      <c r="K39" s="17"/>
    </row>
    <row r="40" spans="1:12" x14ac:dyDescent="0.25">
      <c r="D40" s="17"/>
      <c r="F40" s="17"/>
      <c r="H40" s="17"/>
      <c r="J40" s="17"/>
      <c r="K40" s="17"/>
    </row>
    <row r="41" spans="1:12" x14ac:dyDescent="0.25">
      <c r="D41" s="17"/>
      <c r="F41" s="17"/>
      <c r="H41" s="17"/>
      <c r="J41" s="17"/>
      <c r="K41" s="17"/>
    </row>
    <row r="42" spans="1:12" x14ac:dyDescent="0.25">
      <c r="D42" s="17"/>
      <c r="F42" s="17"/>
      <c r="H42" s="17"/>
      <c r="J42" s="17"/>
      <c r="K42" s="17"/>
    </row>
    <row r="43" spans="1:12" x14ac:dyDescent="0.25">
      <c r="D43" s="17"/>
      <c r="F43" s="17"/>
      <c r="H43" s="17"/>
      <c r="J43" s="17"/>
      <c r="K43" s="17"/>
    </row>
    <row r="44" spans="1:12" x14ac:dyDescent="0.25">
      <c r="D44" s="17"/>
      <c r="F44" s="17"/>
      <c r="H44" s="17"/>
      <c r="J44" s="17"/>
      <c r="K44" s="17"/>
    </row>
    <row r="45" spans="1:12" x14ac:dyDescent="0.25">
      <c r="D45" s="17"/>
      <c r="F45" s="17"/>
      <c r="H45" s="17"/>
      <c r="J45" s="17"/>
      <c r="K45" s="17"/>
    </row>
    <row r="46" spans="1:12" x14ac:dyDescent="0.25">
      <c r="D46" s="17"/>
      <c r="F46" s="17"/>
      <c r="H46" s="17"/>
      <c r="J46" s="17"/>
      <c r="K46" s="17"/>
    </row>
    <row r="47" spans="1:12" x14ac:dyDescent="0.25">
      <c r="D47" s="17"/>
      <c r="F47" s="17"/>
      <c r="H47" s="17"/>
      <c r="J47" s="17"/>
      <c r="K47" s="17"/>
    </row>
    <row r="48" spans="1:12" x14ac:dyDescent="0.25">
      <c r="D48" s="17"/>
      <c r="F48" s="17"/>
      <c r="H48" s="17"/>
      <c r="J48" s="17"/>
      <c r="K48" s="17"/>
    </row>
    <row r="49" spans="1:9" s="17" customFormat="1" x14ac:dyDescent="0.25">
      <c r="A49" s="11"/>
      <c r="E49" s="22"/>
      <c r="G49" s="22"/>
      <c r="I49" s="22"/>
    </row>
    <row r="50" spans="1:9" s="17" customFormat="1" x14ac:dyDescent="0.25">
      <c r="A50" s="11"/>
      <c r="E50" s="22"/>
      <c r="G50" s="22"/>
      <c r="I50" s="22"/>
    </row>
    <row r="51" spans="1:9" s="17" customFormat="1" x14ac:dyDescent="0.25">
      <c r="A51" s="11"/>
      <c r="E51" s="22"/>
      <c r="G51" s="22"/>
      <c r="I51" s="22"/>
    </row>
    <row r="52" spans="1:9" s="17" customFormat="1" x14ac:dyDescent="0.25">
      <c r="A52" s="11"/>
      <c r="E52" s="22"/>
      <c r="G52" s="22"/>
      <c r="I52" s="22"/>
    </row>
    <row r="53" spans="1:9" s="17" customFormat="1" x14ac:dyDescent="0.25">
      <c r="A53" s="11"/>
      <c r="E53" s="22"/>
      <c r="G53" s="22"/>
      <c r="I53" s="22"/>
    </row>
    <row r="54" spans="1:9" s="17" customFormat="1" x14ac:dyDescent="0.25">
      <c r="A54" s="11"/>
      <c r="E54" s="22"/>
      <c r="G54" s="22"/>
      <c r="I54" s="22"/>
    </row>
    <row r="55" spans="1:9" s="17" customFormat="1" x14ac:dyDescent="0.25">
      <c r="A55" s="11"/>
      <c r="E55" s="22"/>
      <c r="G55" s="22"/>
      <c r="I55" s="22"/>
    </row>
    <row r="56" spans="1:9" s="17" customFormat="1" x14ac:dyDescent="0.25">
      <c r="A56" s="11"/>
      <c r="E56" s="22"/>
      <c r="G56" s="22"/>
      <c r="I56" s="22"/>
    </row>
    <row r="57" spans="1:9" s="17" customFormat="1" x14ac:dyDescent="0.25">
      <c r="A57" s="11"/>
      <c r="E57" s="22"/>
      <c r="G57" s="22"/>
      <c r="I57" s="22"/>
    </row>
    <row r="58" spans="1:9" s="17" customFormat="1" x14ac:dyDescent="0.25">
      <c r="A58" s="11"/>
      <c r="E58" s="22"/>
      <c r="G58" s="22"/>
      <c r="I58" s="22"/>
    </row>
    <row r="59" spans="1:9" s="17" customFormat="1" x14ac:dyDescent="0.25">
      <c r="A59" s="11"/>
      <c r="E59" s="22"/>
      <c r="G59" s="22"/>
      <c r="I59" s="22"/>
    </row>
    <row r="60" spans="1:9" s="17" customFormat="1" x14ac:dyDescent="0.25">
      <c r="A60" s="11"/>
      <c r="E60" s="22"/>
      <c r="G60" s="22"/>
      <c r="I60" s="22"/>
    </row>
    <row r="61" spans="1:9" s="17" customFormat="1" x14ac:dyDescent="0.25">
      <c r="A61" s="11"/>
      <c r="E61" s="22"/>
      <c r="G61" s="22"/>
      <c r="I61" s="22"/>
    </row>
    <row r="62" spans="1:9" s="17" customFormat="1" x14ac:dyDescent="0.25">
      <c r="A62" s="11"/>
      <c r="E62" s="22"/>
      <c r="G62" s="22"/>
      <c r="I62" s="22"/>
    </row>
    <row r="63" spans="1:9" s="17" customFormat="1" x14ac:dyDescent="0.25">
      <c r="A63" s="11"/>
      <c r="E63" s="22"/>
      <c r="G63" s="22"/>
      <c r="I63" s="22"/>
    </row>
    <row r="64" spans="1:9" s="17" customFormat="1" x14ac:dyDescent="0.25">
      <c r="A64" s="11"/>
      <c r="E64" s="22"/>
      <c r="G64" s="22"/>
      <c r="I64" s="22"/>
    </row>
    <row r="65" spans="1:9" s="17" customFormat="1" x14ac:dyDescent="0.25">
      <c r="A65" s="11"/>
      <c r="E65" s="22"/>
      <c r="G65" s="22"/>
      <c r="I65" s="22"/>
    </row>
    <row r="66" spans="1:9" s="17" customFormat="1" x14ac:dyDescent="0.25">
      <c r="A66" s="11"/>
      <c r="E66" s="22"/>
      <c r="G66" s="22"/>
      <c r="I66" s="22"/>
    </row>
    <row r="67" spans="1:9" s="17" customFormat="1" x14ac:dyDescent="0.25">
      <c r="A67" s="11"/>
      <c r="E67" s="22"/>
      <c r="G67" s="22"/>
      <c r="I67" s="22"/>
    </row>
    <row r="68" spans="1:9" s="17" customFormat="1" x14ac:dyDescent="0.25">
      <c r="A68" s="11"/>
      <c r="E68" s="22"/>
      <c r="G68" s="22"/>
      <c r="I68" s="22"/>
    </row>
    <row r="69" spans="1:9" s="17" customFormat="1" x14ac:dyDescent="0.25">
      <c r="A69" s="11"/>
      <c r="E69" s="22"/>
      <c r="G69" s="22"/>
      <c r="I69" s="22"/>
    </row>
    <row r="70" spans="1:9" s="17" customFormat="1" x14ac:dyDescent="0.25">
      <c r="A70" s="11"/>
      <c r="E70" s="22"/>
      <c r="G70" s="22"/>
      <c r="I70" s="22"/>
    </row>
    <row r="71" spans="1:9" s="17" customFormat="1" x14ac:dyDescent="0.25">
      <c r="A71" s="11"/>
      <c r="E71" s="22"/>
      <c r="G71" s="22"/>
      <c r="I71" s="22"/>
    </row>
    <row r="72" spans="1:9" s="17" customFormat="1" x14ac:dyDescent="0.25">
      <c r="A72" s="11"/>
      <c r="E72" s="22"/>
      <c r="G72" s="22"/>
      <c r="I72" s="22"/>
    </row>
    <row r="73" spans="1:9" s="17" customFormat="1" x14ac:dyDescent="0.25">
      <c r="A73" s="11"/>
      <c r="E73" s="22"/>
      <c r="G73" s="22"/>
      <c r="I73" s="22"/>
    </row>
    <row r="74" spans="1:9" s="17" customFormat="1" x14ac:dyDescent="0.25">
      <c r="A74" s="11"/>
      <c r="E74" s="22"/>
      <c r="G74" s="22"/>
      <c r="I74" s="22"/>
    </row>
    <row r="75" spans="1:9" s="17" customFormat="1" x14ac:dyDescent="0.25">
      <c r="A75" s="11"/>
      <c r="E75" s="22"/>
      <c r="G75" s="22"/>
      <c r="I75" s="22"/>
    </row>
    <row r="76" spans="1:9" s="17" customFormat="1" x14ac:dyDescent="0.25">
      <c r="A76" s="11"/>
      <c r="E76" s="22"/>
      <c r="G76" s="22"/>
      <c r="I76" s="22"/>
    </row>
    <row r="77" spans="1:9" s="17" customFormat="1" x14ac:dyDescent="0.25">
      <c r="A77" s="11"/>
      <c r="E77" s="22"/>
      <c r="G77" s="22"/>
      <c r="I77" s="22"/>
    </row>
    <row r="78" spans="1:9" s="17" customFormat="1" x14ac:dyDescent="0.25">
      <c r="A78" s="11"/>
      <c r="E78" s="22"/>
      <c r="G78" s="22"/>
      <c r="I78" s="22"/>
    </row>
    <row r="79" spans="1:9" s="17" customFormat="1" x14ac:dyDescent="0.25">
      <c r="A79" s="11"/>
      <c r="E79" s="22"/>
      <c r="G79" s="22"/>
      <c r="I79" s="22"/>
    </row>
    <row r="80" spans="1:9" s="17" customFormat="1" x14ac:dyDescent="0.25">
      <c r="A80" s="11"/>
      <c r="E80" s="22"/>
      <c r="G80" s="22"/>
      <c r="I80" s="22"/>
    </row>
    <row r="81" spans="1:9" s="17" customFormat="1" x14ac:dyDescent="0.25">
      <c r="A81" s="11"/>
      <c r="E81" s="22"/>
      <c r="G81" s="22"/>
      <c r="I81" s="22"/>
    </row>
    <row r="82" spans="1:9" s="17" customFormat="1" x14ac:dyDescent="0.25">
      <c r="A82" s="11"/>
      <c r="E82" s="22"/>
      <c r="G82" s="22"/>
      <c r="I82" s="22"/>
    </row>
    <row r="83" spans="1:9" s="17" customFormat="1" x14ac:dyDescent="0.25">
      <c r="A83" s="11"/>
      <c r="E83" s="22"/>
      <c r="G83" s="22"/>
      <c r="I83" s="22"/>
    </row>
    <row r="84" spans="1:9" s="17" customFormat="1" x14ac:dyDescent="0.25">
      <c r="A84" s="11"/>
      <c r="E84" s="22"/>
      <c r="G84" s="22"/>
      <c r="I84" s="22"/>
    </row>
    <row r="85" spans="1:9" s="17" customFormat="1" x14ac:dyDescent="0.25">
      <c r="A85" s="11"/>
      <c r="E85" s="22"/>
      <c r="G85" s="22"/>
      <c r="I85" s="22"/>
    </row>
    <row r="86" spans="1:9" s="17" customFormat="1" x14ac:dyDescent="0.25">
      <c r="A86" s="11"/>
      <c r="E86" s="22"/>
      <c r="G86" s="22"/>
      <c r="I86" s="22"/>
    </row>
    <row r="87" spans="1:9" s="17" customFormat="1" x14ac:dyDescent="0.25">
      <c r="A87" s="11"/>
      <c r="E87" s="22"/>
      <c r="G87" s="22"/>
      <c r="I87" s="22"/>
    </row>
    <row r="88" spans="1:9" s="17" customFormat="1" x14ac:dyDescent="0.25">
      <c r="A88" s="11"/>
      <c r="E88" s="22"/>
      <c r="G88" s="22"/>
      <c r="I88" s="22"/>
    </row>
    <row r="89" spans="1:9" s="17" customFormat="1" x14ac:dyDescent="0.25">
      <c r="A89" s="11"/>
      <c r="E89" s="22"/>
      <c r="G89" s="22"/>
      <c r="I89" s="22"/>
    </row>
    <row r="90" spans="1:9" s="17" customFormat="1" x14ac:dyDescent="0.25">
      <c r="A90" s="11"/>
      <c r="E90" s="22"/>
      <c r="G90" s="22"/>
      <c r="I90" s="22"/>
    </row>
    <row r="91" spans="1:9" s="17" customFormat="1" x14ac:dyDescent="0.25">
      <c r="A91" s="11"/>
      <c r="E91" s="22"/>
      <c r="G91" s="22"/>
      <c r="I91" s="22"/>
    </row>
    <row r="92" spans="1:9" s="17" customFormat="1" x14ac:dyDescent="0.25">
      <c r="A92" s="11"/>
      <c r="E92" s="22"/>
      <c r="G92" s="22"/>
      <c r="I92" s="22"/>
    </row>
    <row r="93" spans="1:9" s="17" customFormat="1" x14ac:dyDescent="0.25">
      <c r="A93" s="11"/>
      <c r="E93" s="22"/>
      <c r="G93" s="22"/>
      <c r="I93" s="22"/>
    </row>
    <row r="94" spans="1:9" s="17" customFormat="1" x14ac:dyDescent="0.25">
      <c r="A94" s="11"/>
      <c r="E94" s="22"/>
      <c r="G94" s="22"/>
      <c r="I94" s="22"/>
    </row>
    <row r="95" spans="1:9" s="17" customFormat="1" x14ac:dyDescent="0.25">
      <c r="A95" s="11"/>
      <c r="E95" s="22"/>
      <c r="G95" s="22"/>
      <c r="I95" s="22"/>
    </row>
    <row r="96" spans="1:9" s="17" customFormat="1" x14ac:dyDescent="0.25">
      <c r="A96" s="11"/>
      <c r="E96" s="22"/>
      <c r="G96" s="22"/>
      <c r="I96" s="22"/>
    </row>
    <row r="97" spans="1:9" s="17" customFormat="1" x14ac:dyDescent="0.25">
      <c r="A97" s="11"/>
      <c r="E97" s="22"/>
      <c r="G97" s="22"/>
      <c r="I97" s="22"/>
    </row>
    <row r="98" spans="1:9" s="17" customFormat="1" x14ac:dyDescent="0.25">
      <c r="A98" s="11"/>
      <c r="E98" s="22"/>
      <c r="G98" s="22"/>
      <c r="I98" s="22"/>
    </row>
    <row r="99" spans="1:9" s="17" customFormat="1" x14ac:dyDescent="0.25">
      <c r="A99" s="11"/>
      <c r="E99" s="22"/>
      <c r="G99" s="22"/>
      <c r="I99" s="22"/>
    </row>
    <row r="100" spans="1:9" s="17" customFormat="1" x14ac:dyDescent="0.25">
      <c r="A100" s="11"/>
      <c r="E100" s="22"/>
      <c r="G100" s="22"/>
      <c r="I100" s="22"/>
    </row>
    <row r="101" spans="1:9" s="17" customFormat="1" x14ac:dyDescent="0.25">
      <c r="A101" s="11"/>
      <c r="E101" s="22"/>
      <c r="G101" s="22"/>
      <c r="I101" s="22"/>
    </row>
    <row r="102" spans="1:9" s="17" customFormat="1" x14ac:dyDescent="0.25">
      <c r="A102" s="11"/>
      <c r="E102" s="22"/>
      <c r="G102" s="22"/>
      <c r="I102" s="22"/>
    </row>
    <row r="103" spans="1:9" s="17" customFormat="1" x14ac:dyDescent="0.25">
      <c r="A103" s="11"/>
      <c r="E103" s="22"/>
      <c r="G103" s="22"/>
      <c r="I103" s="22"/>
    </row>
    <row r="104" spans="1:9" s="17" customFormat="1" x14ac:dyDescent="0.25">
      <c r="A104" s="11"/>
      <c r="E104" s="22"/>
      <c r="G104" s="22"/>
      <c r="I104" s="22"/>
    </row>
    <row r="105" spans="1:9" s="17" customFormat="1" x14ac:dyDescent="0.25">
      <c r="A105" s="11"/>
      <c r="E105" s="22"/>
      <c r="G105" s="22"/>
      <c r="I105" s="22"/>
    </row>
    <row r="106" spans="1:9" s="17" customFormat="1" x14ac:dyDescent="0.25">
      <c r="A106" s="11"/>
      <c r="E106" s="22"/>
      <c r="G106" s="22"/>
      <c r="I106" s="22"/>
    </row>
    <row r="107" spans="1:9" s="17" customFormat="1" x14ac:dyDescent="0.25">
      <c r="A107" s="11"/>
      <c r="E107" s="22"/>
      <c r="G107" s="22"/>
      <c r="I107" s="22"/>
    </row>
    <row r="108" spans="1:9" s="17" customFormat="1" x14ac:dyDescent="0.25">
      <c r="A108" s="11"/>
      <c r="E108" s="22"/>
      <c r="G108" s="22"/>
      <c r="I108" s="22"/>
    </row>
    <row r="109" spans="1:9" s="17" customFormat="1" x14ac:dyDescent="0.25">
      <c r="A109" s="11"/>
      <c r="E109" s="22"/>
      <c r="G109" s="22"/>
      <c r="I109" s="22"/>
    </row>
    <row r="110" spans="1:9" s="17" customFormat="1" x14ac:dyDescent="0.25">
      <c r="A110" s="11"/>
      <c r="E110" s="22"/>
      <c r="G110" s="22"/>
      <c r="I110" s="22"/>
    </row>
    <row r="111" spans="1:9" s="17" customFormat="1" x14ac:dyDescent="0.25">
      <c r="A111" s="11"/>
      <c r="E111" s="22"/>
      <c r="G111" s="22"/>
      <c r="I111" s="22"/>
    </row>
    <row r="112" spans="1:9" s="17" customFormat="1" x14ac:dyDescent="0.25">
      <c r="A112" s="11"/>
      <c r="E112" s="22"/>
      <c r="G112" s="22"/>
      <c r="I112" s="22"/>
    </row>
    <row r="113" spans="1:9" s="17" customFormat="1" x14ac:dyDescent="0.25">
      <c r="A113" s="11"/>
      <c r="E113" s="22"/>
      <c r="G113" s="22"/>
      <c r="I113" s="22"/>
    </row>
    <row r="114" spans="1:9" s="17" customFormat="1" x14ac:dyDescent="0.25">
      <c r="A114" s="11"/>
      <c r="E114" s="22"/>
      <c r="G114" s="22"/>
      <c r="I114" s="22"/>
    </row>
    <row r="115" spans="1:9" s="17" customFormat="1" x14ac:dyDescent="0.25">
      <c r="A115" s="11"/>
      <c r="E115" s="22"/>
      <c r="G115" s="22"/>
      <c r="I115" s="22"/>
    </row>
    <row r="116" spans="1:9" s="17" customFormat="1" x14ac:dyDescent="0.25">
      <c r="A116" s="11"/>
      <c r="E116" s="22"/>
      <c r="G116" s="22"/>
      <c r="I116" s="22"/>
    </row>
    <row r="117" spans="1:9" s="17" customFormat="1" x14ac:dyDescent="0.25">
      <c r="A117" s="11"/>
      <c r="E117" s="22"/>
      <c r="G117" s="22"/>
      <c r="I117" s="22"/>
    </row>
    <row r="118" spans="1:9" s="17" customFormat="1" x14ac:dyDescent="0.25">
      <c r="A118" s="11"/>
      <c r="E118" s="22"/>
      <c r="G118" s="22"/>
      <c r="I118" s="22"/>
    </row>
    <row r="119" spans="1:9" s="17" customFormat="1" x14ac:dyDescent="0.25">
      <c r="A119" s="11"/>
      <c r="E119" s="22"/>
      <c r="G119" s="22"/>
      <c r="I119" s="22"/>
    </row>
    <row r="120" spans="1:9" s="17" customFormat="1" x14ac:dyDescent="0.25">
      <c r="A120" s="11"/>
      <c r="E120" s="22"/>
      <c r="G120" s="22"/>
      <c r="I120" s="22"/>
    </row>
    <row r="121" spans="1:9" s="17" customFormat="1" x14ac:dyDescent="0.25">
      <c r="A121" s="11"/>
      <c r="E121" s="22"/>
      <c r="G121" s="22"/>
      <c r="I121" s="22"/>
    </row>
    <row r="122" spans="1:9" s="17" customFormat="1" x14ac:dyDescent="0.25">
      <c r="A122" s="11"/>
      <c r="E122" s="22"/>
      <c r="G122" s="22"/>
      <c r="I122" s="22"/>
    </row>
    <row r="123" spans="1:9" s="17" customFormat="1" x14ac:dyDescent="0.25">
      <c r="A123" s="11"/>
      <c r="E123" s="22"/>
      <c r="G123" s="22"/>
      <c r="I123" s="22"/>
    </row>
    <row r="124" spans="1:9" s="17" customFormat="1" x14ac:dyDescent="0.25">
      <c r="A124" s="11"/>
      <c r="E124" s="22"/>
      <c r="G124" s="22"/>
      <c r="I124" s="22"/>
    </row>
    <row r="125" spans="1:9" s="17" customFormat="1" x14ac:dyDescent="0.25">
      <c r="A125" s="11"/>
      <c r="E125" s="22"/>
      <c r="G125" s="22"/>
      <c r="I125" s="22"/>
    </row>
    <row r="126" spans="1:9" s="17" customFormat="1" x14ac:dyDescent="0.25">
      <c r="A126" s="11"/>
      <c r="E126" s="22"/>
      <c r="G126" s="22"/>
      <c r="I126" s="22"/>
    </row>
    <row r="127" spans="1:9" s="17" customFormat="1" x14ac:dyDescent="0.25">
      <c r="A127" s="11"/>
      <c r="E127" s="22"/>
      <c r="G127" s="22"/>
      <c r="I127" s="22"/>
    </row>
    <row r="128" spans="1:9" s="17" customFormat="1" x14ac:dyDescent="0.25">
      <c r="A128" s="11"/>
      <c r="E128" s="22"/>
      <c r="G128" s="22"/>
      <c r="I128" s="22"/>
    </row>
    <row r="129" spans="1:9" s="17" customFormat="1" x14ac:dyDescent="0.25">
      <c r="A129" s="11"/>
      <c r="E129" s="22"/>
      <c r="G129" s="22"/>
      <c r="I129" s="22"/>
    </row>
    <row r="130" spans="1:9" s="17" customFormat="1" x14ac:dyDescent="0.25">
      <c r="A130" s="11"/>
      <c r="E130" s="22"/>
      <c r="G130" s="22"/>
      <c r="I130" s="22"/>
    </row>
    <row r="131" spans="1:9" s="17" customFormat="1" x14ac:dyDescent="0.25">
      <c r="A131" s="11"/>
      <c r="E131" s="22"/>
      <c r="G131" s="22"/>
      <c r="I131" s="22"/>
    </row>
    <row r="132" spans="1:9" s="17" customFormat="1" x14ac:dyDescent="0.25">
      <c r="A132" s="11"/>
      <c r="E132" s="22"/>
      <c r="G132" s="22"/>
      <c r="I132" s="22"/>
    </row>
    <row r="133" spans="1:9" s="17" customFormat="1" x14ac:dyDescent="0.25">
      <c r="A133" s="11"/>
      <c r="E133" s="22"/>
      <c r="G133" s="22"/>
      <c r="I133" s="22"/>
    </row>
    <row r="134" spans="1:9" s="17" customFormat="1" x14ac:dyDescent="0.25">
      <c r="A134" s="11"/>
      <c r="E134" s="22"/>
      <c r="G134" s="22"/>
      <c r="I134" s="22"/>
    </row>
    <row r="135" spans="1:9" s="17" customFormat="1" x14ac:dyDescent="0.25">
      <c r="A135" s="11"/>
      <c r="E135" s="22"/>
      <c r="G135" s="22"/>
      <c r="I135" s="22"/>
    </row>
    <row r="136" spans="1:9" s="17" customFormat="1" x14ac:dyDescent="0.25">
      <c r="A136" s="11"/>
      <c r="E136" s="22"/>
      <c r="G136" s="22"/>
      <c r="I136" s="22"/>
    </row>
    <row r="137" spans="1:9" s="17" customFormat="1" x14ac:dyDescent="0.25">
      <c r="A137" s="11"/>
      <c r="E137" s="22"/>
      <c r="G137" s="22"/>
      <c r="I137" s="22"/>
    </row>
    <row r="138" spans="1:9" s="17" customFormat="1" x14ac:dyDescent="0.25">
      <c r="A138" s="11"/>
      <c r="E138" s="22"/>
      <c r="G138" s="22"/>
      <c r="I138" s="22"/>
    </row>
    <row r="139" spans="1:9" s="17" customFormat="1" x14ac:dyDescent="0.25">
      <c r="A139" s="11"/>
      <c r="E139" s="22"/>
      <c r="G139" s="22"/>
      <c r="I139" s="22"/>
    </row>
    <row r="140" spans="1:9" s="17" customFormat="1" x14ac:dyDescent="0.25">
      <c r="A140" s="11"/>
      <c r="E140" s="22"/>
      <c r="G140" s="22"/>
      <c r="I140" s="22"/>
    </row>
    <row r="141" spans="1:9" s="17" customFormat="1" x14ac:dyDescent="0.25">
      <c r="A141" s="11"/>
      <c r="E141" s="22"/>
      <c r="G141" s="22"/>
      <c r="I141" s="22"/>
    </row>
  </sheetData>
  <phoneticPr fontId="0" type="noConversion"/>
  <pageMargins left="0.25" right="0.25" top="1" bottom="1" header="0.5" footer="0.5"/>
  <pageSetup scale="72" orientation="landscape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zoomScale="75" zoomScaleNormal="75" workbookViewId="0">
      <selection activeCell="K26" sqref="K26"/>
    </sheetView>
  </sheetViews>
  <sheetFormatPr defaultRowHeight="18" x14ac:dyDescent="0.25"/>
  <cols>
    <col min="1" max="1" width="51.7109375" style="17" bestFit="1" customWidth="1"/>
    <col min="2" max="2" width="12.28515625" style="17" bestFit="1" customWidth="1"/>
    <col min="3" max="5" width="14" style="36" bestFit="1" customWidth="1"/>
    <col min="6" max="6" width="16.85546875" style="36" bestFit="1" customWidth="1"/>
    <col min="7" max="7" width="14" style="36" bestFit="1" customWidth="1"/>
    <col min="8" max="8" width="9.140625" style="17"/>
    <col min="9" max="9" width="12.28515625" style="17" bestFit="1" customWidth="1"/>
    <col min="10" max="16384" width="9.140625" style="17"/>
  </cols>
  <sheetData>
    <row r="1" spans="1:7" s="12" customFormat="1" x14ac:dyDescent="0.25">
      <c r="C1" s="35" t="s">
        <v>0</v>
      </c>
      <c r="D1" s="35" t="s">
        <v>1</v>
      </c>
      <c r="E1" s="35" t="s">
        <v>2</v>
      </c>
      <c r="F1" s="35" t="s">
        <v>35</v>
      </c>
      <c r="G1" s="35" t="s">
        <v>33</v>
      </c>
    </row>
    <row r="2" spans="1:7" s="12" customFormat="1" x14ac:dyDescent="0.25">
      <c r="A2" s="12" t="s">
        <v>16</v>
      </c>
      <c r="B2" s="14" t="s">
        <v>46</v>
      </c>
      <c r="C2" s="35"/>
      <c r="D2" s="35"/>
      <c r="E2" s="35"/>
      <c r="F2" s="35" t="s">
        <v>34</v>
      </c>
      <c r="G2" s="35" t="s">
        <v>34</v>
      </c>
    </row>
    <row r="3" spans="1:7" s="12" customFormat="1" x14ac:dyDescent="0.25">
      <c r="C3" s="36"/>
      <c r="D3" s="36"/>
      <c r="E3" s="36"/>
      <c r="F3" s="35"/>
      <c r="G3" s="35"/>
    </row>
    <row r="4" spans="1:7" s="12" customFormat="1" x14ac:dyDescent="0.25">
      <c r="C4" s="36"/>
      <c r="D4" s="36"/>
      <c r="E4" s="36"/>
      <c r="F4" s="35"/>
      <c r="G4" s="35"/>
    </row>
    <row r="5" spans="1:7" x14ac:dyDescent="0.25">
      <c r="A5" s="12" t="s">
        <v>3</v>
      </c>
      <c r="B5" s="12"/>
    </row>
    <row r="7" spans="1:7" x14ac:dyDescent="0.25">
      <c r="A7" s="12" t="s">
        <v>4</v>
      </c>
      <c r="B7" s="12"/>
    </row>
    <row r="8" spans="1:7" x14ac:dyDescent="0.25">
      <c r="A8" s="17" t="s">
        <v>54</v>
      </c>
      <c r="B8" s="17">
        <f>Salaries!K9</f>
        <v>29.952173076923071</v>
      </c>
      <c r="C8" s="36">
        <f>TASKS!D8</f>
        <v>22911.75</v>
      </c>
      <c r="D8" s="36">
        <f>TASKS!F8</f>
        <v>23960</v>
      </c>
      <c r="E8" s="36">
        <f>TASKS!H8</f>
        <v>2995</v>
      </c>
      <c r="F8" s="36">
        <f t="shared" ref="F8:F10" si="0">SUM(C8:E8)</f>
        <v>49866.75</v>
      </c>
      <c r="G8" s="36">
        <f>SUM(F8*80%)</f>
        <v>39893.4</v>
      </c>
    </row>
    <row r="9" spans="1:7" x14ac:dyDescent="0.25">
      <c r="A9" s="17" t="s">
        <v>50</v>
      </c>
      <c r="B9" s="17">
        <f>Salaries!K5</f>
        <v>44.061270653846151</v>
      </c>
      <c r="C9" s="36">
        <f>TASKS!D9</f>
        <v>4406</v>
      </c>
      <c r="D9" s="36">
        <f>TASKS!F9</f>
        <v>4406</v>
      </c>
      <c r="E9" s="36">
        <f>TASKS!H9</f>
        <v>4406</v>
      </c>
      <c r="F9" s="36">
        <f t="shared" si="0"/>
        <v>13218</v>
      </c>
      <c r="G9" s="36">
        <f>SUM(F9*80%)</f>
        <v>10574.400000000001</v>
      </c>
    </row>
    <row r="10" spans="1:7" x14ac:dyDescent="0.25">
      <c r="A10" s="17" t="s">
        <v>47</v>
      </c>
      <c r="B10" s="17">
        <f>Salaries!K7</f>
        <v>37.383490646153845</v>
      </c>
      <c r="C10" s="36">
        <f>TASKS!D10</f>
        <v>7476</v>
      </c>
      <c r="D10" s="36">
        <f>TASKS!F10</f>
        <v>3738</v>
      </c>
      <c r="E10" s="36">
        <f>TASKS!H10</f>
        <v>3738</v>
      </c>
      <c r="F10" s="36">
        <f t="shared" si="0"/>
        <v>14952</v>
      </c>
      <c r="G10" s="36">
        <f>SUM(F10*80%)</f>
        <v>11961.6</v>
      </c>
    </row>
    <row r="12" spans="1:7" x14ac:dyDescent="0.25">
      <c r="A12" s="12" t="s">
        <v>5</v>
      </c>
      <c r="B12" s="12"/>
      <c r="C12" s="36">
        <f>TASKS!D12</f>
        <v>1065</v>
      </c>
      <c r="D12" s="36">
        <f>TASKS!F12</f>
        <v>1000</v>
      </c>
      <c r="E12" s="36">
        <f>TASKS!H12</f>
        <v>300</v>
      </c>
    </row>
    <row r="13" spans="1:7" x14ac:dyDescent="0.25">
      <c r="A13" s="12" t="s">
        <v>6</v>
      </c>
      <c r="B13" s="12"/>
      <c r="C13" s="36">
        <f>SUM(C8:C11)/C12</f>
        <v>32.670187793427232</v>
      </c>
      <c r="D13" s="36">
        <f>SUM(D8:D11)/D12</f>
        <v>32.103999999999999</v>
      </c>
      <c r="E13" s="36">
        <v>22.86</v>
      </c>
    </row>
    <row r="14" spans="1:7" x14ac:dyDescent="0.25">
      <c r="A14" s="12" t="s">
        <v>7</v>
      </c>
      <c r="B14" s="12"/>
    </row>
    <row r="15" spans="1:7" x14ac:dyDescent="0.25">
      <c r="A15" s="17" t="s">
        <v>36</v>
      </c>
      <c r="F15" s="36">
        <f>SUM(C15:E15)</f>
        <v>0</v>
      </c>
      <c r="G15" s="36">
        <f>SUM(F15*80%)</f>
        <v>0</v>
      </c>
    </row>
    <row r="16" spans="1:7" x14ac:dyDescent="0.25">
      <c r="A16" s="17" t="s">
        <v>19</v>
      </c>
      <c r="F16" s="36">
        <f>SUM(C16:E16)</f>
        <v>0</v>
      </c>
      <c r="G16" s="36">
        <f>SUM(F16*80%)</f>
        <v>0</v>
      </c>
    </row>
    <row r="17" spans="1:8" x14ac:dyDescent="0.25">
      <c r="A17" s="17" t="s">
        <v>20</v>
      </c>
      <c r="F17" s="36">
        <f>SUM(C17:E17)</f>
        <v>0</v>
      </c>
      <c r="G17" s="36">
        <f>SUM(F17*80%)</f>
        <v>0</v>
      </c>
    </row>
    <row r="18" spans="1:8" x14ac:dyDescent="0.25">
      <c r="A18" s="12" t="s">
        <v>8</v>
      </c>
      <c r="B18" s="12"/>
    </row>
    <row r="19" spans="1:8" x14ac:dyDescent="0.25">
      <c r="A19" s="17" t="s">
        <v>9</v>
      </c>
      <c r="C19" s="36">
        <f>TASKS!D19</f>
        <v>2500</v>
      </c>
      <c r="D19" s="36">
        <f>TASKS!F19</f>
        <v>0</v>
      </c>
      <c r="E19" s="36">
        <f>TASKS!H19</f>
        <v>0</v>
      </c>
      <c r="F19" s="36">
        <f>SUM(C19:E19)</f>
        <v>2500</v>
      </c>
      <c r="G19" s="36">
        <f t="shared" ref="G19:G24" si="1">SUM(F19*80%)</f>
        <v>2000</v>
      </c>
    </row>
    <row r="20" spans="1:8" x14ac:dyDescent="0.25">
      <c r="A20" s="17" t="s">
        <v>10</v>
      </c>
      <c r="C20" s="36">
        <f>TASKS!D20</f>
        <v>1000</v>
      </c>
      <c r="D20" s="36">
        <f>TASKS!F20</f>
        <v>0</v>
      </c>
      <c r="E20" s="36">
        <f>TASKS!H20</f>
        <v>0</v>
      </c>
      <c r="F20" s="36">
        <f t="shared" ref="F20:F25" si="2">SUM(C20:E20)</f>
        <v>1000</v>
      </c>
      <c r="G20" s="36">
        <f t="shared" si="1"/>
        <v>800</v>
      </c>
    </row>
    <row r="21" spans="1:8" x14ac:dyDescent="0.25">
      <c r="A21" s="17" t="s">
        <v>11</v>
      </c>
      <c r="C21" s="36">
        <f>TASKS!D21</f>
        <v>2000</v>
      </c>
      <c r="D21" s="36">
        <f>TASKS!F21</f>
        <v>0</v>
      </c>
      <c r="E21" s="36">
        <f>TASKS!H21</f>
        <v>0</v>
      </c>
      <c r="F21" s="36">
        <f t="shared" si="2"/>
        <v>2000</v>
      </c>
      <c r="G21" s="36">
        <f t="shared" si="1"/>
        <v>1600</v>
      </c>
    </row>
    <row r="22" spans="1:8" x14ac:dyDescent="0.25">
      <c r="A22" s="17" t="s">
        <v>12</v>
      </c>
      <c r="C22" s="36">
        <f>TASKS!D22</f>
        <v>5000</v>
      </c>
      <c r="D22" s="36">
        <f>TASKS!F22</f>
        <v>0</v>
      </c>
      <c r="E22" s="36">
        <f>TASKS!H22</f>
        <v>0</v>
      </c>
      <c r="F22" s="36">
        <f t="shared" si="2"/>
        <v>5000</v>
      </c>
      <c r="G22" s="36">
        <f t="shared" si="1"/>
        <v>4000</v>
      </c>
    </row>
    <row r="23" spans="1:8" x14ac:dyDescent="0.25">
      <c r="A23" s="12" t="s">
        <v>13</v>
      </c>
      <c r="B23" s="12"/>
      <c r="C23" s="36">
        <f>TASKS!D23</f>
        <v>4100</v>
      </c>
      <c r="D23" s="36">
        <f>TASKS!F23</f>
        <v>0</v>
      </c>
      <c r="E23" s="36">
        <f>TASKS!H23</f>
        <v>0</v>
      </c>
      <c r="F23" s="36">
        <f t="shared" si="2"/>
        <v>4100</v>
      </c>
      <c r="G23" s="36">
        <f t="shared" si="1"/>
        <v>3280</v>
      </c>
    </row>
    <row r="24" spans="1:8" x14ac:dyDescent="0.25">
      <c r="A24" s="12" t="s">
        <v>14</v>
      </c>
      <c r="B24" s="12"/>
      <c r="C24" s="36">
        <f>TASKS!D24</f>
        <v>500</v>
      </c>
      <c r="D24" s="36">
        <f>TASKS!F24</f>
        <v>0</v>
      </c>
      <c r="E24" s="36">
        <f>TASKS!H24</f>
        <v>0</v>
      </c>
      <c r="F24" s="36">
        <f t="shared" si="2"/>
        <v>500</v>
      </c>
      <c r="G24" s="36">
        <f t="shared" si="1"/>
        <v>400</v>
      </c>
    </row>
    <row r="25" spans="1:8" x14ac:dyDescent="0.25">
      <c r="A25" s="12" t="s">
        <v>15</v>
      </c>
      <c r="B25" s="12"/>
      <c r="C25" s="36">
        <f>TASKS!D25</f>
        <v>4863.78</v>
      </c>
      <c r="D25" s="36">
        <f>TASKS!F25</f>
        <v>0</v>
      </c>
      <c r="E25" s="36">
        <f>TASKS!H25</f>
        <v>0</v>
      </c>
      <c r="F25" s="36">
        <f t="shared" si="2"/>
        <v>4863.78</v>
      </c>
      <c r="G25" s="36">
        <f>SUM(F25*80%)</f>
        <v>3891.0239999999999</v>
      </c>
    </row>
    <row r="27" spans="1:8" x14ac:dyDescent="0.25">
      <c r="A27" s="20" t="s">
        <v>17</v>
      </c>
      <c r="B27" s="20"/>
      <c r="C27" s="36">
        <f>SUM(C8:C25)-C12-C13</f>
        <v>54757.53</v>
      </c>
      <c r="D27" s="36">
        <f>SUM(D8:D25)-D12-D13</f>
        <v>32104</v>
      </c>
      <c r="E27" s="36">
        <f>SUM(E8:E25)-E12-E13</f>
        <v>11139</v>
      </c>
      <c r="F27" s="36">
        <f>SUM(F8:F25)</f>
        <v>98000.53</v>
      </c>
      <c r="G27" s="36">
        <f>SUM(G8:G25)+0.01</f>
        <v>78400.433999999994</v>
      </c>
    </row>
    <row r="28" spans="1:8" x14ac:dyDescent="0.25">
      <c r="A28" s="31"/>
      <c r="B28" s="31"/>
      <c r="C28" s="32"/>
      <c r="D28" s="32"/>
      <c r="E28" s="32"/>
      <c r="F28" s="32"/>
      <c r="G28" s="32"/>
      <c r="H28" s="27"/>
    </row>
    <row r="29" spans="1:8" x14ac:dyDescent="0.25">
      <c r="A29" s="31"/>
      <c r="B29" s="31"/>
      <c r="C29" s="33"/>
      <c r="D29" s="33"/>
      <c r="E29" s="33"/>
      <c r="F29" s="32"/>
      <c r="G29" s="32"/>
      <c r="H29" s="27"/>
    </row>
    <row r="30" spans="1:8" x14ac:dyDescent="0.25">
      <c r="A30" s="34" t="s">
        <v>40</v>
      </c>
      <c r="B30" s="34"/>
      <c r="C30" s="32"/>
      <c r="D30" s="32"/>
      <c r="E30" s="32"/>
      <c r="F30" s="32"/>
      <c r="G30" s="32"/>
      <c r="H30" s="27"/>
    </row>
    <row r="31" spans="1:8" x14ac:dyDescent="0.25">
      <c r="A31" s="31" t="s">
        <v>53</v>
      </c>
      <c r="B31" s="31"/>
      <c r="C31" s="32"/>
      <c r="D31" s="32"/>
      <c r="E31" s="32"/>
      <c r="F31" s="32"/>
      <c r="G31" s="32"/>
      <c r="H31" s="27"/>
    </row>
    <row r="32" spans="1:8" x14ac:dyDescent="0.25">
      <c r="A32" s="31" t="s">
        <v>51</v>
      </c>
      <c r="B32" s="31"/>
      <c r="C32" s="32"/>
      <c r="D32" s="32"/>
      <c r="E32" s="32"/>
      <c r="F32" s="32"/>
      <c r="G32" s="32"/>
      <c r="H32" s="27"/>
    </row>
    <row r="33" spans="1:8" x14ac:dyDescent="0.25">
      <c r="A33" s="31" t="s">
        <v>43</v>
      </c>
      <c r="B33" s="31"/>
      <c r="C33" s="32"/>
      <c r="D33" s="32"/>
      <c r="E33" s="32"/>
      <c r="F33" s="32"/>
      <c r="G33" s="32"/>
      <c r="H33" s="27"/>
    </row>
    <row r="34" spans="1:8" x14ac:dyDescent="0.25">
      <c r="A34" s="31"/>
      <c r="B34" s="31"/>
      <c r="C34" s="32"/>
      <c r="D34" s="32"/>
      <c r="E34" s="32"/>
      <c r="F34" s="32"/>
      <c r="G34" s="32"/>
      <c r="H34" s="27"/>
    </row>
    <row r="35" spans="1:8" x14ac:dyDescent="0.25">
      <c r="A35" s="31"/>
      <c r="B35" s="31"/>
      <c r="C35" s="32"/>
      <c r="D35" s="32"/>
      <c r="E35" s="32"/>
      <c r="F35" s="32"/>
      <c r="G35" s="32"/>
      <c r="H35" s="27"/>
    </row>
    <row r="36" spans="1:8" x14ac:dyDescent="0.25">
      <c r="A36" s="31"/>
      <c r="B36" s="31"/>
      <c r="C36" s="32"/>
      <c r="D36" s="32"/>
      <c r="E36" s="32"/>
      <c r="F36" s="32"/>
      <c r="G36" s="32"/>
      <c r="H36" s="27"/>
    </row>
    <row r="37" spans="1:8" x14ac:dyDescent="0.25">
      <c r="A37" s="31"/>
      <c r="B37" s="31"/>
      <c r="C37" s="32"/>
      <c r="D37" s="32"/>
      <c r="E37" s="32"/>
      <c r="F37" s="32"/>
      <c r="G37" s="32"/>
      <c r="H37" s="27"/>
    </row>
    <row r="38" spans="1:8" x14ac:dyDescent="0.25">
      <c r="A38" s="28"/>
      <c r="B38" s="28"/>
      <c r="C38" s="37"/>
      <c r="D38" s="37"/>
      <c r="E38" s="37"/>
      <c r="F38" s="37"/>
      <c r="G38" s="37"/>
    </row>
  </sheetData>
  <pageMargins left="0.7" right="0.7" top="0.75" bottom="0.75" header="0.3" footer="0.3"/>
  <pageSetup scale="64" orientation="landscape" r:id="rId1"/>
  <headerFooter>
    <oddHeader xml:space="preserve">&amp;L&amp;12Bootheel Regional Planning And
Economic Development Commission
&amp;C&amp;12July 1, 2018 - June 30, 2019
FY 2019 Work Plan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e55ad5-6649-4c6f-832f-270139e9175f">
      <Terms xmlns="http://schemas.microsoft.com/office/infopath/2007/PartnerControls"/>
    </lcf76f155ced4ddcb4097134ff3c332f>
    <TaxCatchAll xmlns="93a8bba4-c9af-4f91-a589-db7b9a6c6f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E365B64F56F4EA5B76EA91B9984AE" ma:contentTypeVersion="18" ma:contentTypeDescription="Create a new document." ma:contentTypeScope="" ma:versionID="f97fed4121a850e46549644811b5617b">
  <xsd:schema xmlns:xsd="http://www.w3.org/2001/XMLSchema" xmlns:xs="http://www.w3.org/2001/XMLSchema" xmlns:p="http://schemas.microsoft.com/office/2006/metadata/properties" xmlns:ns2="81e55ad5-6649-4c6f-832f-270139e9175f" xmlns:ns3="93a8bba4-c9af-4f91-a589-db7b9a6c6f45" targetNamespace="http://schemas.microsoft.com/office/2006/metadata/properties" ma:root="true" ma:fieldsID="ac54236653895a9e0be5efd3c99b004c" ns2:_="" ns3:_="">
    <xsd:import namespace="81e55ad5-6649-4c6f-832f-270139e9175f"/>
    <xsd:import namespace="93a8bba4-c9af-4f91-a589-db7b9a6c6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5ad5-6649-4c6f-832f-270139e91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277229-501c-4c51-858a-385df6cc9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8bba4-c9af-4f91-a589-db7b9a6c6f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7bd3b3-2792-4b86-909b-4a17ba6de4dd}" ma:internalName="TaxCatchAll" ma:showField="CatchAllData" ma:web="93a8bba4-c9af-4f91-a589-db7b9a6c6f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942A0-8E5F-4AFB-836C-ED0ECDAD6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6C969-B046-43C4-A078-92CE5A532C89}">
  <ds:schemaRefs>
    <ds:schemaRef ds:uri="http://schemas.microsoft.com/office/2006/metadata/properties"/>
    <ds:schemaRef ds:uri="http://schemas.microsoft.com/office/infopath/2007/PartnerControls"/>
    <ds:schemaRef ds:uri="81e55ad5-6649-4c6f-832f-270139e9175f"/>
    <ds:schemaRef ds:uri="93a8bba4-c9af-4f91-a589-db7b9a6c6f45"/>
  </ds:schemaRefs>
</ds:datastoreItem>
</file>

<file path=customXml/itemProps3.xml><?xml version="1.0" encoding="utf-8"?>
<ds:datastoreItem xmlns:ds="http://schemas.openxmlformats.org/officeDocument/2006/customXml" ds:itemID="{AB728123-7C00-4F05-A562-0F2A8D686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5ad5-6649-4c6f-832f-270139e9175f"/>
    <ds:schemaRef ds:uri="93a8bba4-c9af-4f91-a589-db7b9a6c6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Salaries</vt:lpstr>
      <vt:lpstr>MoDOT</vt:lpstr>
      <vt:lpstr>TASKS</vt:lpstr>
      <vt:lpstr>Hours-Task</vt:lpstr>
      <vt:lpstr>Task-Staff</vt:lpstr>
      <vt:lpstr>'Hours-Task'!Print_Area</vt:lpstr>
      <vt:lpstr>MoDOT!Print_Area</vt:lpstr>
      <vt:lpstr>TASKS!Print_Area</vt:lpstr>
      <vt:lpstr>'Task-Staff'!Print_Area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Katelyn Lambert</cp:lastModifiedBy>
  <cp:lastPrinted>2024-05-16T20:39:12Z</cp:lastPrinted>
  <dcterms:created xsi:type="dcterms:W3CDTF">1996-10-14T23:33:28Z</dcterms:created>
  <dcterms:modified xsi:type="dcterms:W3CDTF">2024-05-16T20:47:45Z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0x0101001FCE365B64F56F4EA5B76EA91B9984AE</vt:lpwstr>
  </property>
  <property fmtid="{D5CDD505-2E9C-101B-9397-08002B2CF9AE}" pid="3" name="MediaServiceImageTags">
    <vt:lpwstr/>
  </property>
</Properties>
</file>