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pc-my.sharepoint.com/personal/davidbock_midmorpc_org/Documents/Transportation/Administration/Work Program/FY25 Work Plan/"/>
    </mc:Choice>
  </mc:AlternateContent>
  <xr:revisionPtr revIDLastSave="89" documentId="8_{B3BE1FE4-2154-4D29-BDCF-29C6E52B34B9}" xr6:coauthVersionLast="47" xr6:coauthVersionMax="47" xr10:uidLastSave="{78771093-BD07-4A30-BD07-1ED83D08A392}"/>
  <bookViews>
    <workbookView xWindow="-14505" yWindow="60" windowWidth="14610" windowHeight="15585" xr2:uid="{75485C4B-79C5-4FDE-8B1A-4C25BA48DCA7}"/>
  </bookViews>
  <sheets>
    <sheet name="FY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3" l="1"/>
  <c r="H36" i="3"/>
  <c r="H37" i="3"/>
  <c r="G36" i="3"/>
  <c r="G37" i="3"/>
  <c r="F36" i="3"/>
  <c r="F37" i="3"/>
  <c r="H35" i="3"/>
  <c r="G35" i="3"/>
  <c r="F35" i="3"/>
  <c r="C19" i="3"/>
  <c r="G7" i="3"/>
  <c r="G11" i="3"/>
  <c r="H10" i="3"/>
  <c r="H11" i="3"/>
  <c r="I11" i="3" s="1"/>
  <c r="H9" i="3"/>
  <c r="H8" i="3"/>
  <c r="H7" i="3"/>
  <c r="H6" i="3"/>
  <c r="D13" i="3" s="1"/>
  <c r="C29" i="3" l="1"/>
  <c r="D19" i="3" s="1"/>
  <c r="F13" i="3"/>
  <c r="F17" i="3" s="1"/>
  <c r="E13" i="3"/>
  <c r="D17" i="3"/>
  <c r="F12" i="3"/>
  <c r="F16" i="3" s="1"/>
  <c r="E12" i="3"/>
  <c r="E16" i="3" s="1"/>
  <c r="D12" i="3"/>
  <c r="D16" i="3" s="1"/>
  <c r="G10" i="3"/>
  <c r="G9" i="3"/>
  <c r="I9" i="3" s="1"/>
  <c r="G8" i="3"/>
  <c r="I8" i="3" s="1"/>
  <c r="I7" i="3"/>
  <c r="G6" i="3"/>
  <c r="I6" i="3" s="1"/>
  <c r="E17" i="3" l="1"/>
  <c r="G17" i="3" s="1"/>
  <c r="G13" i="3"/>
  <c r="C17" i="3" s="1"/>
  <c r="G12" i="3"/>
  <c r="C16" i="3" s="1"/>
  <c r="C18" i="3"/>
  <c r="G16" i="3"/>
  <c r="I10" i="3"/>
  <c r="I13" i="3" s="1"/>
  <c r="D18" i="3" l="1"/>
  <c r="G18" i="3" s="1"/>
  <c r="C20" i="3"/>
  <c r="E20" i="3"/>
  <c r="C36" i="3" s="1"/>
  <c r="F20" i="3"/>
  <c r="C37" i="3" s="1"/>
  <c r="C21" i="3" l="1"/>
  <c r="C22" i="3"/>
  <c r="G19" i="3"/>
  <c r="D20" i="3"/>
  <c r="C35" i="3" s="1"/>
  <c r="F22" i="3"/>
  <c r="F21" i="3"/>
  <c r="E22" i="3"/>
  <c r="E21" i="3"/>
  <c r="G20" i="3" l="1"/>
  <c r="D22" i="3"/>
  <c r="D21" i="3"/>
  <c r="C38" i="3" l="1"/>
  <c r="D35" i="3" s="1"/>
  <c r="G22" i="3"/>
  <c r="G21" i="3"/>
  <c r="D37" i="3" l="1"/>
  <c r="D36" i="3"/>
</calcChain>
</file>

<file path=xl/sharedStrings.xml><?xml version="1.0" encoding="utf-8"?>
<sst xmlns="http://schemas.openxmlformats.org/spreadsheetml/2006/main" count="47" uniqueCount="38">
  <si>
    <t>Task 1</t>
  </si>
  <si>
    <t>Task 2</t>
  </si>
  <si>
    <t>Task 3</t>
  </si>
  <si>
    <t>Staff Time Allocation/Cost</t>
  </si>
  <si>
    <t>Total</t>
  </si>
  <si>
    <t>Rate</t>
  </si>
  <si>
    <t>Executive Director</t>
  </si>
  <si>
    <t>Fiscal Officer</t>
  </si>
  <si>
    <t>Transportation Planner / GIS Specialist</t>
  </si>
  <si>
    <t>Regional Planner / Grant Writer</t>
  </si>
  <si>
    <t>Administrative Assistant</t>
  </si>
  <si>
    <t>Total Hours</t>
  </si>
  <si>
    <t>Total Salary/Fringe</t>
  </si>
  <si>
    <t>Task1- Admin</t>
  </si>
  <si>
    <t>Task2-Core Activities/Public Engagement</t>
  </si>
  <si>
    <t>Task 3- Pro Dev</t>
  </si>
  <si>
    <t>Estimated Staff Hours</t>
  </si>
  <si>
    <t>Staff Salaries/Fringe</t>
  </si>
  <si>
    <t>Expenses - Direct</t>
  </si>
  <si>
    <t>MoDOT 80%</t>
  </si>
  <si>
    <t>Mid-MO RPC 20%</t>
  </si>
  <si>
    <t>Direct Expenses</t>
  </si>
  <si>
    <t>Travel - Mileage and Lodging</t>
  </si>
  <si>
    <t>Meetings and Conferences</t>
  </si>
  <si>
    <t>Equipment and Supplies</t>
  </si>
  <si>
    <t>Other Direct Expenses</t>
  </si>
  <si>
    <t>Description</t>
  </si>
  <si>
    <t>% of Work Program</t>
  </si>
  <si>
    <t>Administration</t>
  </si>
  <si>
    <t>Core Planning / Public Engagement</t>
  </si>
  <si>
    <t>Professional Development</t>
  </si>
  <si>
    <t>1,000 MACOG Transportation; 265 AnyDesk (Transportation Planner)</t>
  </si>
  <si>
    <t>Grants Specalist</t>
  </si>
  <si>
    <t>FY25 Transportation Work Program Budget Summary Calculations</t>
  </si>
  <si>
    <t>Indirect (De Minimis)</t>
  </si>
  <si>
    <t>MoDOT</t>
  </si>
  <si>
    <t>Mid-MO</t>
  </si>
  <si>
    <t>FY25 Total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</si>
</sst>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0" fillId="0" borderId="0" xfId="0" applyNumberFormat="1"/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0" fillId="2" borderId="0" xfId="0" applyNumberFormat="1" applyFill="1"/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0" fillId="2" borderId="0" xfId="0" applyNumberFormat="1" applyFill="1"/>
  </cellXfs>
  <cellStyles count="4">
    <cellStyle name="Comma 2" xfId="2" xr:uid="{A55C646F-4FF0-44F6-A8AA-2EC3DBA4460A}"/>
    <cellStyle name="Currency 2" xfId="3" xr:uid="{550E0B46-8BDF-4374-84BE-563C7309A6C3}"/>
    <cellStyle name="Normal" xfId="0" builtinId="0"/>
    <cellStyle name="Normal 2" xfId="1" xr:uid="{5800DC1D-1ED4-409D-8B70-F222E48B5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640A-C8F2-4825-8E67-B94AC7788FFD}">
  <sheetPr>
    <pageSetUpPr fitToPage="1"/>
  </sheetPr>
  <dimension ref="A1:I44"/>
  <sheetViews>
    <sheetView tabSelected="1" topLeftCell="B1" workbookViewId="0">
      <selection activeCell="C23" sqref="C23"/>
    </sheetView>
  </sheetViews>
  <sheetFormatPr defaultColWidth="9.1328125" defaultRowHeight="14.25" x14ac:dyDescent="0.45"/>
  <cols>
    <col min="1" max="1" width="12.59765625" customWidth="1"/>
    <col min="2" max="2" width="29.1328125" bestFit="1" customWidth="1"/>
    <col min="3" max="3" width="11.73046875" customWidth="1"/>
    <col min="4" max="5" width="13.73046875" customWidth="1"/>
    <col min="6" max="6" width="13.86328125" customWidth="1"/>
    <col min="7" max="7" width="17.73046875" customWidth="1"/>
  </cols>
  <sheetData>
    <row r="1" spans="2:9" ht="7.5" customHeight="1" x14ac:dyDescent="0.5">
      <c r="B1" s="1"/>
      <c r="C1" s="1"/>
    </row>
    <row r="2" spans="2:9" ht="18" x14ac:dyDescent="0.55000000000000004">
      <c r="B2" s="1" t="s">
        <v>33</v>
      </c>
      <c r="C2" s="2"/>
    </row>
    <row r="3" spans="2:9" x14ac:dyDescent="0.45">
      <c r="C3" s="3"/>
    </row>
    <row r="4" spans="2:9" x14ac:dyDescent="0.45">
      <c r="B4" s="4"/>
      <c r="C4" s="5"/>
      <c r="D4" s="6" t="s">
        <v>0</v>
      </c>
      <c r="E4" s="6" t="s">
        <v>1</v>
      </c>
      <c r="F4" s="6" t="s">
        <v>2</v>
      </c>
      <c r="G4" s="5"/>
      <c r="H4" s="5"/>
      <c r="I4" s="5"/>
    </row>
    <row r="5" spans="2:9" x14ac:dyDescent="0.45">
      <c r="B5" s="7" t="s">
        <v>3</v>
      </c>
      <c r="C5" s="7"/>
      <c r="D5" s="5"/>
      <c r="E5" s="5"/>
      <c r="F5" s="5"/>
      <c r="G5" s="6" t="s">
        <v>4</v>
      </c>
      <c r="H5" s="6" t="s">
        <v>5</v>
      </c>
      <c r="I5" s="5"/>
    </row>
    <row r="6" spans="2:9" x14ac:dyDescent="0.45">
      <c r="B6" s="5" t="s">
        <v>6</v>
      </c>
      <c r="C6" s="8"/>
      <c r="D6" s="9">
        <v>60</v>
      </c>
      <c r="E6" s="9">
        <v>660</v>
      </c>
      <c r="F6" s="9">
        <v>60</v>
      </c>
      <c r="G6" s="9">
        <f t="shared" ref="G6:G11" si="0">SUM(D6:F6)</f>
        <v>780</v>
      </c>
      <c r="H6" s="19">
        <f>48.29*1.02</f>
        <v>49.255800000000001</v>
      </c>
      <c r="I6" s="9">
        <f>(G6*H6)</f>
        <v>38419.523999999998</v>
      </c>
    </row>
    <row r="7" spans="2:9" x14ac:dyDescent="0.45">
      <c r="B7" s="5" t="s">
        <v>7</v>
      </c>
      <c r="C7" s="8"/>
      <c r="D7" s="9">
        <v>120</v>
      </c>
      <c r="E7" s="9">
        <v>0</v>
      </c>
      <c r="F7" s="9">
        <v>20</v>
      </c>
      <c r="G7" s="9">
        <f t="shared" si="0"/>
        <v>140</v>
      </c>
      <c r="H7" s="19">
        <f>32.99*1.02</f>
        <v>33.649800000000006</v>
      </c>
      <c r="I7" s="9">
        <f>G7*H7</f>
        <v>4710.9720000000007</v>
      </c>
    </row>
    <row r="8" spans="2:9" x14ac:dyDescent="0.45">
      <c r="B8" s="5" t="s">
        <v>8</v>
      </c>
      <c r="C8" s="8"/>
      <c r="D8" s="9">
        <v>0</v>
      </c>
      <c r="E8" s="9">
        <v>810</v>
      </c>
      <c r="F8" s="9">
        <v>60</v>
      </c>
      <c r="G8" s="9">
        <f>SUM(D8:F8)</f>
        <v>870</v>
      </c>
      <c r="H8" s="19">
        <f>37.71*1.02</f>
        <v>38.464199999999998</v>
      </c>
      <c r="I8" s="9">
        <f>G8*H8</f>
        <v>33463.853999999999</v>
      </c>
    </row>
    <row r="9" spans="2:9" x14ac:dyDescent="0.45">
      <c r="B9" s="5" t="s">
        <v>9</v>
      </c>
      <c r="C9" s="8"/>
      <c r="D9" s="9">
        <v>0</v>
      </c>
      <c r="E9" s="9">
        <v>76</v>
      </c>
      <c r="F9" s="9">
        <v>20</v>
      </c>
      <c r="G9" s="9">
        <f t="shared" si="0"/>
        <v>96</v>
      </c>
      <c r="H9" s="19">
        <f>35.3*1.02</f>
        <v>36.006</v>
      </c>
      <c r="I9" s="9">
        <f>G9*H9</f>
        <v>3456.576</v>
      </c>
    </row>
    <row r="10" spans="2:9" x14ac:dyDescent="0.45">
      <c r="B10" s="5" t="s">
        <v>32</v>
      </c>
      <c r="C10" s="8"/>
      <c r="D10" s="9">
        <v>0</v>
      </c>
      <c r="E10" s="9">
        <v>76</v>
      </c>
      <c r="F10" s="9">
        <v>20</v>
      </c>
      <c r="G10" s="9">
        <f t="shared" si="0"/>
        <v>96</v>
      </c>
      <c r="H10" s="19">
        <f>25.84*1.02</f>
        <v>26.3568</v>
      </c>
      <c r="I10" s="9">
        <f>G10*H10</f>
        <v>2530.2528000000002</v>
      </c>
    </row>
    <row r="11" spans="2:9" x14ac:dyDescent="0.45">
      <c r="B11" s="5" t="s">
        <v>10</v>
      </c>
      <c r="C11" s="8"/>
      <c r="D11" s="9">
        <v>0</v>
      </c>
      <c r="E11" s="9">
        <v>144</v>
      </c>
      <c r="F11" s="9">
        <v>0</v>
      </c>
      <c r="G11" s="9">
        <f t="shared" si="0"/>
        <v>144</v>
      </c>
      <c r="H11" s="19">
        <f>22.25*1.02</f>
        <v>22.695</v>
      </c>
      <c r="I11" s="9">
        <f>G11*H11</f>
        <v>3268.08</v>
      </c>
    </row>
    <row r="12" spans="2:9" x14ac:dyDescent="0.45">
      <c r="B12" s="6" t="s">
        <v>11</v>
      </c>
      <c r="C12" s="9"/>
      <c r="D12" s="9">
        <f>SUM(D6:D11)</f>
        <v>180</v>
      </c>
      <c r="E12" s="9">
        <f>SUM(E6:E11)</f>
        <v>1766</v>
      </c>
      <c r="F12" s="9">
        <f>SUM(F6:F11)</f>
        <v>180</v>
      </c>
      <c r="G12" s="9">
        <f>SUM(G6:G11)</f>
        <v>2126</v>
      </c>
      <c r="H12" s="5"/>
      <c r="I12" s="9"/>
    </row>
    <row r="13" spans="2:9" x14ac:dyDescent="0.45">
      <c r="B13" s="6" t="s">
        <v>12</v>
      </c>
      <c r="C13" s="5"/>
      <c r="D13" s="9">
        <f>(D6*$H6)+(D7*$H7)+(D8*$H8)+(D9*$H9)+(D10*$H10)+(D11*$H11)</f>
        <v>6993.3240000000005</v>
      </c>
      <c r="E13" s="9">
        <f>(E6*$H6)+(E7*$H7)+(E8*$H8)+(E9*$H9)+(E10*$H10)+(E11*$H11)</f>
        <v>71672.482800000013</v>
      </c>
      <c r="F13" s="9">
        <f>(F6*$H6)+(F7*$H7)+(F8*$H8)+(F9*$H9)+(F10*$H10)+(F11*$H11)</f>
        <v>7183.4519999999993</v>
      </c>
      <c r="G13" s="9">
        <f>SUM(D13:F13)</f>
        <v>85849.258800000025</v>
      </c>
      <c r="H13" s="5"/>
      <c r="I13" s="9">
        <f>SUM(I6:I11)</f>
        <v>85849.258800000011</v>
      </c>
    </row>
    <row r="14" spans="2:9" x14ac:dyDescent="0.45">
      <c r="C14" s="3"/>
    </row>
    <row r="15" spans="2:9" x14ac:dyDescent="0.45">
      <c r="D15" t="s">
        <v>13</v>
      </c>
      <c r="E15" t="s">
        <v>14</v>
      </c>
      <c r="F15" t="s">
        <v>15</v>
      </c>
      <c r="G15" t="s">
        <v>4</v>
      </c>
    </row>
    <row r="16" spans="2:9" x14ac:dyDescent="0.45">
      <c r="B16" t="s">
        <v>16</v>
      </c>
      <c r="C16" s="3">
        <f>G12</f>
        <v>2126</v>
      </c>
      <c r="D16" s="3">
        <f>D12</f>
        <v>180</v>
      </c>
      <c r="E16" s="3">
        <f t="shared" ref="D16:F17" si="1">E12</f>
        <v>1766</v>
      </c>
      <c r="F16" s="3">
        <f t="shared" si="1"/>
        <v>180</v>
      </c>
      <c r="G16" s="3">
        <f>SUM(D16:F16)</f>
        <v>2126</v>
      </c>
      <c r="H16" s="3"/>
      <c r="I16" s="3"/>
    </row>
    <row r="17" spans="2:9" x14ac:dyDescent="0.45">
      <c r="B17" t="s">
        <v>17</v>
      </c>
      <c r="C17" s="3">
        <f>G13</f>
        <v>85849.258800000025</v>
      </c>
      <c r="D17" s="3">
        <f t="shared" si="1"/>
        <v>6993.3240000000005</v>
      </c>
      <c r="E17" s="3">
        <f>E13</f>
        <v>71672.482800000013</v>
      </c>
      <c r="F17" s="3">
        <f t="shared" si="1"/>
        <v>7183.4519999999993</v>
      </c>
      <c r="G17" s="3">
        <f>SUM(D17:F17)</f>
        <v>85849.258800000025</v>
      </c>
      <c r="H17" s="3"/>
      <c r="I17" s="3"/>
    </row>
    <row r="18" spans="2:9" x14ac:dyDescent="0.45">
      <c r="B18" t="s">
        <v>18</v>
      </c>
      <c r="C18" s="3">
        <f>C29</f>
        <v>3862.48</v>
      </c>
      <c r="D18" s="3">
        <f>C18</f>
        <v>3862.48</v>
      </c>
      <c r="E18" s="3"/>
      <c r="F18" s="3"/>
      <c r="G18" s="3">
        <f>SUM(D18:F18)</f>
        <v>3862.48</v>
      </c>
      <c r="H18" s="3"/>
      <c r="I18" s="3"/>
    </row>
    <row r="19" spans="2:9" x14ac:dyDescent="0.45">
      <c r="B19" t="s">
        <v>34</v>
      </c>
      <c r="C19" s="3">
        <f>(99250.43-C29)*0.1</f>
        <v>9538.7950000000001</v>
      </c>
      <c r="D19" s="3">
        <f>C19</f>
        <v>9538.7950000000001</v>
      </c>
      <c r="E19" s="3"/>
      <c r="F19" s="3"/>
      <c r="G19" s="3">
        <f>SUM(D19:F19)</f>
        <v>9538.7950000000001</v>
      </c>
      <c r="H19" s="3"/>
      <c r="I19" s="3"/>
    </row>
    <row r="20" spans="2:9" x14ac:dyDescent="0.45">
      <c r="B20" t="s">
        <v>4</v>
      </c>
      <c r="C20" s="3">
        <f>SUM(C17:C19)</f>
        <v>99250.533800000019</v>
      </c>
      <c r="D20" s="3">
        <f>SUM(D17:D19)</f>
        <v>20394.599000000002</v>
      </c>
      <c r="E20" s="3">
        <f t="shared" ref="E20:F20" si="2">SUM(E17:E19)</f>
        <v>71672.482800000013</v>
      </c>
      <c r="F20" s="3">
        <f t="shared" si="2"/>
        <v>7183.4519999999993</v>
      </c>
      <c r="G20" s="3">
        <f>SUM(D20:F20)</f>
        <v>99250.533800000019</v>
      </c>
      <c r="H20" s="3"/>
      <c r="I20" s="3"/>
    </row>
    <row r="21" spans="2:9" x14ac:dyDescent="0.45">
      <c r="B21" t="s">
        <v>19</v>
      </c>
      <c r="C21" s="3">
        <f>C20*0.8</f>
        <v>79400.427040000024</v>
      </c>
      <c r="D21" s="3">
        <f t="shared" ref="D21:G21" si="3">D20*0.8</f>
        <v>16315.679200000002</v>
      </c>
      <c r="E21" s="3">
        <f t="shared" si="3"/>
        <v>57337.986240000013</v>
      </c>
      <c r="F21" s="3">
        <f t="shared" si="3"/>
        <v>5746.7615999999998</v>
      </c>
      <c r="G21" s="3">
        <f t="shared" si="3"/>
        <v>79400.427040000024</v>
      </c>
      <c r="H21" s="3"/>
      <c r="I21" s="3"/>
    </row>
    <row r="22" spans="2:9" x14ac:dyDescent="0.45">
      <c r="B22" t="s">
        <v>20</v>
      </c>
      <c r="C22" s="3">
        <f>C20*0.2</f>
        <v>19850.106760000006</v>
      </c>
      <c r="D22" s="3">
        <f t="shared" ref="D22:G22" si="4">D20*0.2</f>
        <v>4078.9198000000006</v>
      </c>
      <c r="E22" s="3">
        <f t="shared" si="4"/>
        <v>14334.496560000003</v>
      </c>
      <c r="F22" s="3">
        <f t="shared" si="4"/>
        <v>1436.6904</v>
      </c>
      <c r="G22" s="3">
        <f t="shared" si="4"/>
        <v>19850.106760000006</v>
      </c>
      <c r="H22" s="3"/>
      <c r="I22" s="3"/>
    </row>
    <row r="23" spans="2:9" x14ac:dyDescent="0.45">
      <c r="C23" s="10"/>
      <c r="D23" s="3"/>
      <c r="E23" s="3"/>
      <c r="F23" s="3"/>
      <c r="G23" s="3"/>
      <c r="H23" s="3"/>
      <c r="I23" s="3"/>
    </row>
    <row r="24" spans="2:9" x14ac:dyDescent="0.45">
      <c r="B24" s="11" t="s">
        <v>21</v>
      </c>
      <c r="C24" s="3"/>
      <c r="D24" s="3"/>
      <c r="E24" s="3"/>
      <c r="F24" s="3"/>
      <c r="G24" s="3"/>
      <c r="H24" s="3"/>
      <c r="I24" s="3"/>
    </row>
    <row r="25" spans="2:9" x14ac:dyDescent="0.45">
      <c r="B25" t="s">
        <v>22</v>
      </c>
      <c r="C25" s="17">
        <v>1000</v>
      </c>
      <c r="D25" s="3"/>
      <c r="E25" s="3"/>
      <c r="F25" s="3"/>
      <c r="G25" s="3"/>
      <c r="H25" s="3"/>
      <c r="I25" s="3"/>
    </row>
    <row r="26" spans="2:9" x14ac:dyDescent="0.45">
      <c r="B26" t="s">
        <v>23</v>
      </c>
      <c r="C26" s="17">
        <v>200</v>
      </c>
      <c r="D26" s="3"/>
      <c r="E26" s="3"/>
      <c r="F26" s="3"/>
      <c r="G26" s="3"/>
      <c r="H26" s="3"/>
      <c r="I26" s="3"/>
    </row>
    <row r="27" spans="2:9" x14ac:dyDescent="0.45">
      <c r="B27" t="s">
        <v>24</v>
      </c>
      <c r="C27" s="17">
        <v>1397.48</v>
      </c>
      <c r="D27" s="3"/>
      <c r="E27" s="3"/>
      <c r="F27" s="3"/>
      <c r="G27" s="3"/>
      <c r="H27" s="3"/>
      <c r="I27" s="3"/>
    </row>
    <row r="28" spans="2:9" x14ac:dyDescent="0.45">
      <c r="B28" t="s">
        <v>25</v>
      </c>
      <c r="C28" s="17">
        <v>1265</v>
      </c>
      <c r="D28" s="3"/>
      <c r="E28" s="3" t="s">
        <v>31</v>
      </c>
      <c r="F28" s="3"/>
      <c r="G28" s="3"/>
      <c r="H28" s="3"/>
      <c r="I28" s="3"/>
    </row>
    <row r="29" spans="2:9" x14ac:dyDescent="0.45">
      <c r="B29" s="12" t="s">
        <v>4</v>
      </c>
      <c r="C29" s="17">
        <f>SUM(C25:C28)</f>
        <v>3862.48</v>
      </c>
      <c r="D29" s="3"/>
      <c r="E29" s="3"/>
      <c r="F29" s="3"/>
      <c r="G29" s="3"/>
      <c r="H29" s="3"/>
      <c r="I29" s="3"/>
    </row>
    <row r="30" spans="2:9" x14ac:dyDescent="0.45">
      <c r="B30" s="12"/>
      <c r="C30" s="10"/>
      <c r="D30" s="3"/>
      <c r="E30" s="3"/>
      <c r="F30" s="3"/>
      <c r="G30" s="3"/>
      <c r="H30" s="3"/>
      <c r="I30" s="3"/>
    </row>
    <row r="31" spans="2:9" x14ac:dyDescent="0.45">
      <c r="C31" s="11"/>
    </row>
    <row r="32" spans="2:9" x14ac:dyDescent="0.45">
      <c r="B32" s="12"/>
      <c r="C32" s="11"/>
    </row>
    <row r="34" spans="1:8" x14ac:dyDescent="0.45">
      <c r="B34" s="13" t="s">
        <v>26</v>
      </c>
      <c r="C34" s="14" t="s">
        <v>4</v>
      </c>
      <c r="D34" t="s">
        <v>27</v>
      </c>
      <c r="F34" t="s">
        <v>35</v>
      </c>
      <c r="G34" s="3" t="s">
        <v>36</v>
      </c>
      <c r="H34" s="3" t="s">
        <v>4</v>
      </c>
    </row>
    <row r="35" spans="1:8" x14ac:dyDescent="0.45">
      <c r="A35" t="s">
        <v>0</v>
      </c>
      <c r="B35" t="s">
        <v>28</v>
      </c>
      <c r="C35" s="17">
        <f>D20</f>
        <v>20394.599000000002</v>
      </c>
      <c r="D35" s="15">
        <f>C35/C38</f>
        <v>0.20548603840355364</v>
      </c>
      <c r="E35" s="15"/>
      <c r="F35" s="17">
        <f>C35*0.8</f>
        <v>16315.679200000002</v>
      </c>
      <c r="G35" s="17">
        <f>C35*0.2</f>
        <v>4078.9198000000006</v>
      </c>
      <c r="H35" s="17">
        <f>F35+G35</f>
        <v>20394.599000000002</v>
      </c>
    </row>
    <row r="36" spans="1:8" x14ac:dyDescent="0.45">
      <c r="A36" t="s">
        <v>1</v>
      </c>
      <c r="B36" t="s">
        <v>29</v>
      </c>
      <c r="C36" s="17">
        <f>E20</f>
        <v>71672.482800000013</v>
      </c>
      <c r="D36" s="15">
        <f>C36/C38</f>
        <v>0.72213700073822673</v>
      </c>
      <c r="E36" s="15"/>
      <c r="F36" s="17">
        <f t="shared" ref="F36:F37" si="5">C36*0.8</f>
        <v>57337.986240000013</v>
      </c>
      <c r="G36" s="17">
        <f t="shared" ref="G36:G37" si="6">C36*0.2</f>
        <v>14334.496560000003</v>
      </c>
      <c r="H36" s="17">
        <f t="shared" ref="H36:H37" si="7">F36+G36</f>
        <v>71672.482800000013</v>
      </c>
    </row>
    <row r="37" spans="1:8" x14ac:dyDescent="0.45">
      <c r="A37" t="s">
        <v>2</v>
      </c>
      <c r="B37" t="s">
        <v>30</v>
      </c>
      <c r="C37" s="17">
        <f>F20</f>
        <v>7183.4519999999993</v>
      </c>
      <c r="D37" s="15">
        <f>C37/C38</f>
        <v>7.2376960858219569E-2</v>
      </c>
      <c r="E37" s="15"/>
      <c r="F37" s="17">
        <f t="shared" si="5"/>
        <v>5746.7615999999998</v>
      </c>
      <c r="G37" s="17">
        <f t="shared" si="6"/>
        <v>1436.6904</v>
      </c>
      <c r="H37" s="17">
        <f t="shared" si="7"/>
        <v>7183.4519999999993</v>
      </c>
    </row>
    <row r="38" spans="1:8" x14ac:dyDescent="0.45">
      <c r="B38" s="16" t="s">
        <v>4</v>
      </c>
      <c r="C38" s="18">
        <f>SUM(C35:C37)</f>
        <v>99250.533800000019</v>
      </c>
      <c r="D38" s="15"/>
      <c r="E38" s="3"/>
      <c r="F38" s="17"/>
      <c r="G38" s="17"/>
      <c r="H38" s="17">
        <f>H35+H36+H37</f>
        <v>99250.533800000019</v>
      </c>
    </row>
    <row r="39" spans="1:8" x14ac:dyDescent="0.45">
      <c r="B39" s="14"/>
      <c r="C39" s="11"/>
    </row>
    <row r="40" spans="1:8" x14ac:dyDescent="0.45">
      <c r="B40" s="16" t="s">
        <v>37</v>
      </c>
      <c r="C40" s="18">
        <v>99250.53</v>
      </c>
    </row>
    <row r="41" spans="1:8" x14ac:dyDescent="0.45">
      <c r="B41" s="12"/>
    </row>
    <row r="43" spans="1:8" x14ac:dyDescent="0.45">
      <c r="B43" s="12"/>
    </row>
    <row r="44" spans="1:8" x14ac:dyDescent="0.45">
      <c r="B44" s="12"/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Bock</dc:creator>
  <cp:lastModifiedBy>David Bock</cp:lastModifiedBy>
  <cp:lastPrinted>2023-06-02T20:53:56Z</cp:lastPrinted>
  <dcterms:created xsi:type="dcterms:W3CDTF">2021-05-28T16:26:38Z</dcterms:created>
  <dcterms:modified xsi:type="dcterms:W3CDTF">2024-05-19T15:07:06Z</dcterms:modified>
</cp:coreProperties>
</file>